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bz.ad.minbuza.local\Data\users\brilman.marina\My Documents\Verdragsrapportage\"/>
    </mc:Choice>
  </mc:AlternateContent>
  <xr:revisionPtr revIDLastSave="0" documentId="13_ncr:1_{66AF01DA-3852-4CED-9AFA-C9DDBAFF000B}" xr6:coauthVersionLast="47" xr6:coauthVersionMax="47" xr10:uidLastSave="{00000000-0000-0000-0000-000000000000}"/>
  <bookViews>
    <workbookView xWindow="-110" yWindow="-110" windowWidth="19420" windowHeight="10420" firstSheet="5" activeTab="9" xr2:uid="{05545AA8-857F-41C7-9859-F716F14A2DD6}"/>
  </bookViews>
  <sheets>
    <sheet name="1. GDP and public debt" sheetId="1" r:id="rId1"/>
    <sheet name="2. Households poverty-risk" sheetId="2" r:id="rId2"/>
    <sheet name="3. Inequality" sheetId="3" r:id="rId3"/>
    <sheet name="4. Public income" sheetId="4" r:id="rId4"/>
    <sheet name="5. Public expenditures" sheetId="5" r:id="rId5"/>
    <sheet name="6. COVID-19 expenditures" sheetId="6" r:id="rId6"/>
    <sheet name="7. Domestic abuse" sheetId="7" r:id="rId7"/>
    <sheet name="8. Family Reunification" sheetId="8" r:id="rId8"/>
    <sheet name="9. Occupancy reception centres" sheetId="9" r:id="rId9"/>
    <sheet name="10. Unemployment; background" sheetId="10" r:id="rId10"/>
  </sheets>
  <definedNames>
    <definedName name="_Hlk160719628" localSheetId="6">'7. Domestic abuse'!$A$1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3" l="1"/>
  <c r="C5" i="3"/>
  <c r="I6" i="8"/>
  <c r="F15" i="8"/>
  <c r="I13" i="8"/>
  <c r="I14" i="8"/>
  <c r="C15" i="8"/>
  <c r="D15" i="8"/>
  <c r="E15" i="8"/>
  <c r="G15" i="8"/>
  <c r="H15" i="8"/>
  <c r="B15" i="8"/>
  <c r="I12" i="8"/>
  <c r="I11" i="8"/>
  <c r="I4" i="8"/>
  <c r="C6" i="8"/>
  <c r="D6" i="8"/>
  <c r="E6" i="8"/>
  <c r="F6" i="8"/>
  <c r="G6" i="8"/>
  <c r="H6" i="8"/>
  <c r="B6" i="8"/>
  <c r="I5" i="8"/>
  <c r="B10" i="3"/>
  <c r="I15" i="8" l="1"/>
  <c r="D16" i="6"/>
  <c r="H16" i="6" s="1"/>
  <c r="E16" i="6"/>
  <c r="C16" i="6"/>
  <c r="B16" i="6"/>
  <c r="L15" i="5"/>
  <c r="K15" i="5"/>
  <c r="J15" i="5"/>
  <c r="I15" i="5"/>
  <c r="H15" i="5"/>
  <c r="G15" i="5"/>
  <c r="F15" i="5"/>
  <c r="E15" i="5"/>
  <c r="D15" i="5"/>
  <c r="C15" i="5"/>
  <c r="B15" i="5"/>
  <c r="C13" i="4"/>
  <c r="D13" i="4"/>
  <c r="E13" i="4"/>
  <c r="F13" i="4"/>
  <c r="G13" i="4"/>
  <c r="H13" i="4"/>
  <c r="I13" i="4"/>
  <c r="J13" i="4"/>
  <c r="K13" i="4"/>
  <c r="L13" i="4"/>
  <c r="B13" i="4"/>
  <c r="L10" i="4"/>
  <c r="L12" i="4" s="1"/>
  <c r="K10" i="4"/>
  <c r="J10" i="4"/>
  <c r="I10" i="4"/>
  <c r="G10" i="4"/>
  <c r="H10" i="4"/>
  <c r="F10" i="4"/>
  <c r="E10" i="4"/>
  <c r="D10" i="4"/>
  <c r="C10" i="4"/>
  <c r="C12" i="4" s="1"/>
  <c r="B10" i="4"/>
  <c r="B12" i="4" s="1"/>
  <c r="D12" i="4"/>
  <c r="E12" i="4"/>
  <c r="F12" i="4"/>
  <c r="H12" i="4"/>
  <c r="I12" i="4"/>
  <c r="J12" i="4"/>
  <c r="K12" i="4"/>
  <c r="F7" i="4"/>
  <c r="G7" i="4"/>
  <c r="J7" i="4"/>
  <c r="B7" i="4"/>
  <c r="L9" i="4"/>
  <c r="L7" i="4" s="1"/>
  <c r="K9" i="4"/>
  <c r="K7" i="4" s="1"/>
  <c r="J9" i="4"/>
  <c r="I9" i="4"/>
  <c r="I7" i="4" s="1"/>
  <c r="H9" i="4"/>
  <c r="H7" i="4" s="1"/>
  <c r="G9" i="4"/>
  <c r="F9" i="4"/>
  <c r="D9" i="4"/>
  <c r="D7" i="4" s="1"/>
  <c r="E9" i="4"/>
  <c r="E7" i="4" s="1"/>
  <c r="C9" i="4"/>
  <c r="C7" i="4" s="1"/>
  <c r="B9" i="4"/>
  <c r="L6" i="4"/>
  <c r="K6" i="4"/>
  <c r="J6" i="4"/>
  <c r="H6" i="4"/>
  <c r="I6" i="4"/>
  <c r="G6" i="4"/>
  <c r="F6" i="4"/>
  <c r="E6" i="4"/>
  <c r="D6" i="4"/>
  <c r="C6" i="4"/>
  <c r="B6" i="4"/>
  <c r="B6" i="3"/>
  <c r="C6" i="3"/>
  <c r="D6" i="3"/>
  <c r="E6" i="3"/>
  <c r="F6" i="3"/>
  <c r="G6" i="3"/>
  <c r="H6" i="3"/>
  <c r="I6" i="3"/>
  <c r="J6" i="3"/>
  <c r="K6" i="3"/>
  <c r="L6" i="3"/>
  <c r="L5" i="3"/>
  <c r="K5" i="3"/>
  <c r="J5" i="3"/>
  <c r="I5" i="3"/>
  <c r="H5" i="3"/>
  <c r="G5" i="3"/>
  <c r="F5" i="3"/>
  <c r="E5" i="3"/>
  <c r="D5" i="3"/>
  <c r="B5" i="3"/>
  <c r="L9" i="3"/>
  <c r="L10" i="3" s="1"/>
  <c r="K9" i="3"/>
  <c r="K10" i="3" s="1"/>
  <c r="J9" i="3"/>
  <c r="J10" i="3" s="1"/>
  <c r="I10" i="3"/>
  <c r="H9" i="3"/>
  <c r="H10" i="3" s="1"/>
  <c r="G9" i="3"/>
  <c r="G10" i="3" s="1"/>
  <c r="F9" i="3"/>
  <c r="F10" i="3" s="1"/>
  <c r="E9" i="3"/>
  <c r="E10" i="3" s="1"/>
  <c r="D9" i="3"/>
  <c r="D10" i="3" s="1"/>
  <c r="C9" i="3"/>
  <c r="C10" i="3" s="1"/>
  <c r="B9" i="3"/>
  <c r="G12" i="4" l="1"/>
</calcChain>
</file>

<file path=xl/sharedStrings.xml><?xml version="1.0" encoding="utf-8"?>
<sst xmlns="http://schemas.openxmlformats.org/spreadsheetml/2006/main" count="228" uniqueCount="150">
  <si>
    <t>2022*</t>
  </si>
  <si>
    <t>GDP per capita (in euros)</t>
  </si>
  <si>
    <t>GDP (market prices, in million euros)</t>
  </si>
  <si>
    <t>Public debt (percentage GDP)</t>
  </si>
  <si>
    <t>Percentage of low-income/at risk of poverty households, short term (at least 1 year) and long term (4 years or longer)</t>
  </si>
  <si>
    <t>Percentage of households under the low-income threshold</t>
  </si>
  <si>
    <t>At least 1 year</t>
  </si>
  <si>
    <t>4 years or longer</t>
  </si>
  <si>
    <t>Percentage of households up to 101% social minimum</t>
  </si>
  <si>
    <t>Wealth Inequality</t>
  </si>
  <si>
    <t>Net income top 10%</t>
  </si>
  <si>
    <t>million euro</t>
  </si>
  <si>
    <t>billion euro</t>
  </si>
  <si>
    <t xml:space="preserve">Source income: </t>
  </si>
  <si>
    <t>https://opendata.cbs.nl/#/CBS/nl/dataset/84493NED/table?dl=A2514</t>
  </si>
  <si>
    <t xml:space="preserve">Source assets: </t>
  </si>
  <si>
    <t>https://opendata.cbs.nl/statline/#/CBS/nl/dataset/83834NED/table?dl=A2515</t>
  </si>
  <si>
    <t>Wealth Tax</t>
  </si>
  <si>
    <r>
      <t xml:space="preserve">Direct Taxes </t>
    </r>
    <r>
      <rPr>
        <sz val="10"/>
        <color theme="1"/>
        <rFont val="Times New Roman"/>
        <family val="1"/>
      </rPr>
      <t>(Total)</t>
    </r>
  </si>
  <si>
    <t>in million euro</t>
  </si>
  <si>
    <r>
      <t xml:space="preserve">Indirect Taxes </t>
    </r>
    <r>
      <rPr>
        <sz val="10"/>
        <color theme="1"/>
        <rFont val="Times New Roman"/>
        <family val="1"/>
      </rPr>
      <t>(VAT, Import Tax, other product taxes)</t>
    </r>
  </si>
  <si>
    <r>
      <t>Income Tax</t>
    </r>
    <r>
      <rPr>
        <i/>
        <sz val="8"/>
        <color theme="1"/>
        <rFont val="Times New Roman"/>
        <family val="1"/>
      </rPr>
      <t xml:space="preserve"> (includes taxes on income from capital such as dividend)</t>
    </r>
  </si>
  <si>
    <t>Total government revenue</t>
  </si>
  <si>
    <t>Taxes as percentage of total government revenue</t>
  </si>
  <si>
    <r>
      <t xml:space="preserve">Total tax revenue </t>
    </r>
    <r>
      <rPr>
        <sz val="10"/>
        <color theme="1"/>
        <rFont val="Times New Roman"/>
        <family val="1"/>
      </rPr>
      <t>(includes other taxes and social security contributions)</t>
    </r>
  </si>
  <si>
    <t>https://opendata.cbs.nl/statline/#/CBS/nl/dataset/84115NED/table?ts=1711538284705</t>
  </si>
  <si>
    <t>https://opendata.cbs.nl/statline/#/CBS/nl/dataset/84115NED/table?dl=242D2</t>
  </si>
  <si>
    <t xml:space="preserve">Total government revenue as a percentage of GDP </t>
  </si>
  <si>
    <t>Total government expenditure</t>
  </si>
  <si>
    <t>Social protection (including social security, pensions, etc)</t>
  </si>
  <si>
    <t>Housing and regional development</t>
  </si>
  <si>
    <t>Healthcare</t>
  </si>
  <si>
    <t>Education</t>
  </si>
  <si>
    <t xml:space="preserve">Total government expenditure as a percentage of GDP </t>
  </si>
  <si>
    <t>Defense</t>
  </si>
  <si>
    <t>Sickness and work disability</t>
  </si>
  <si>
    <t>Source (general government expenditure)</t>
  </si>
  <si>
    <t>https://opendata.cbs.nl/statline/#/CBS/nl/dataset/84122NED/table?ts=1711618757942</t>
  </si>
  <si>
    <t>Water supplies</t>
  </si>
  <si>
    <t>Sanitation</t>
  </si>
  <si>
    <t>Government balance (percentage GDP)</t>
  </si>
  <si>
    <t>Government balance (million euro)</t>
  </si>
  <si>
    <t>2023*</t>
  </si>
  <si>
    <t>Ministry of Social Affairs and Employment</t>
  </si>
  <si>
    <t>Ministry of Health, Welfare and Sport</t>
  </si>
  <si>
    <t>Ministry of Economic Affairs and Climate Policy</t>
  </si>
  <si>
    <t>Ministry of Education, Culture and Science</t>
  </si>
  <si>
    <t>Ministry of Interior and Kingdom Relations</t>
  </si>
  <si>
    <t>Ministry of Infrastructure and Water Management</t>
  </si>
  <si>
    <t>Ministry of Agriculture, Nature and Food Quality</t>
  </si>
  <si>
    <t>Ministry of Finance</t>
  </si>
  <si>
    <t>Ministry of Foreign Affairs (Foreign Trade and Development)</t>
  </si>
  <si>
    <t>Ministry of Justice and Security</t>
  </si>
  <si>
    <t>in billion euro</t>
  </si>
  <si>
    <t>* - 2023 is budgeted, not yet confirmed</t>
  </si>
  <si>
    <t>Total</t>
  </si>
  <si>
    <t>Total expenditures 2020-2023:</t>
  </si>
  <si>
    <t>Others</t>
  </si>
  <si>
    <t>Expenditures per Ministry</t>
  </si>
  <si>
    <t>Expenditures on types of fiscal policy measures</t>
  </si>
  <si>
    <t>Subsidies</t>
  </si>
  <si>
    <t>Unknown</t>
  </si>
  <si>
    <t>Orders</t>
  </si>
  <si>
    <t>Financial support to public authorities</t>
  </si>
  <si>
    <t>Income transfers</t>
  </si>
  <si>
    <t>Loans</t>
  </si>
  <si>
    <t>Guarantees</t>
  </si>
  <si>
    <t>Funding</t>
  </si>
  <si>
    <t>Recipients of COVID crisis expenditures</t>
  </si>
  <si>
    <t>Business</t>
  </si>
  <si>
    <t>Other public authorities</t>
  </si>
  <si>
    <t>Coronarekening | Corona | Algemene Rekenkamer</t>
  </si>
  <si>
    <t>Research</t>
  </si>
  <si>
    <t>Ratio 10%/50%</t>
  </si>
  <si>
    <t xml:space="preserve">Source: </t>
  </si>
  <si>
    <t>https://opendata.cbs.nl/statline/#/CBS/nl/dataset/84119NED/table?ts=1712235492987</t>
  </si>
  <si>
    <t>https://opendata.cbs.nl/statline/#/CBS/nl/dataset/84087NED/table?ts=1712230215994</t>
  </si>
  <si>
    <t>Source: (GDP)</t>
  </si>
  <si>
    <t>Source: (Public debt)</t>
  </si>
  <si>
    <t xml:space="preserve">Source: (Govt. Balance) </t>
  </si>
  <si>
    <t>Source: (general government income)</t>
  </si>
  <si>
    <t>Source: (forms of tax revenue)</t>
  </si>
  <si>
    <t>Source: (general government expenditure)</t>
  </si>
  <si>
    <t>Period</t>
  </si>
  <si>
    <t>Continuous care</t>
  </si>
  <si>
    <t>New care</t>
  </si>
  <si>
    <t>Clientsystem/network</t>
  </si>
  <si>
    <t>Mental healthcare</t>
  </si>
  <si>
    <t>Youth care</t>
  </si>
  <si>
    <t>Child protection council</t>
  </si>
  <si>
    <t>Reclassering</t>
  </si>
  <si>
    <t>Justice: other</t>
  </si>
  <si>
    <t>Veilig Thuis: other region (advice/report centre)</t>
  </si>
  <si>
    <t>Regional organization</t>
  </si>
  <si>
    <t>Other</t>
  </si>
  <si>
    <t>2023 (until June)</t>
  </si>
  <si>
    <t>Number of cases of domestic violence and child abuse</t>
  </si>
  <si>
    <t>64.430  </t>
  </si>
  <si>
    <t>Number of convictions in court</t>
  </si>
  <si>
    <t>Number of sanctions (where only domestic violence is proven. Multiple sanctions can be given to the same perpetrator)</t>
  </si>
  <si>
    <t xml:space="preserve">Sources: </t>
  </si>
  <si>
    <t>https://dashboards.cbs.nl/v3/regionaaldashboardveiligthuis/</t>
  </si>
  <si>
    <t>https://dashboards.cbs.nl/v3/dashboardimpactmonitor_hgkm/</t>
  </si>
  <si>
    <t>Continuous &amp; new combin.</t>
  </si>
  <si>
    <t>Total/Continuous/New/Combined</t>
  </si>
  <si>
    <t>The number of requests for family reunification ('nareis' + 8 ECHR) submitted by a benificiary of international protection in the period 2017-2023</t>
  </si>
  <si>
    <t>Year</t>
  </si>
  <si>
    <t>MVV nareis</t>
  </si>
  <si>
    <t>MVV-TEV GezHer 8EVRM bij AMV</t>
  </si>
  <si>
    <t>Bezw. GezHer 8EVRM bij AMV</t>
  </si>
  <si>
    <t>Bezwaar nareis</t>
  </si>
  <si>
    <t>The number of family reunifications granted ('nareis' + 8 ECHR) submitted by a beneficiary of international protection in the period of 2017 - 2023</t>
  </si>
  <si>
    <t>Total yearly</t>
  </si>
  <si>
    <t>Source: Metis/INDiGO, rounded to first decimal</t>
  </si>
  <si>
    <t>Type of reception centre</t>
  </si>
  <si>
    <t>Total capacity</t>
  </si>
  <si>
    <t>Total occupancy</t>
  </si>
  <si>
    <t>Occupancy rate</t>
  </si>
  <si>
    <t xml:space="preserve">Regular shelters </t>
  </si>
  <si>
    <t>Emergency shelters</t>
  </si>
  <si>
    <t>Temporary municipal shelters</t>
  </si>
  <si>
    <t>Non-COA shelters</t>
  </si>
  <si>
    <t>-</t>
  </si>
  <si>
    <t>Capacity and occupancy of reception centres for asylum seekers, including emergency shelters (as of March 2024)</t>
  </si>
  <si>
    <t>Source: Actueel Beeld Opvang March 11 2024, Ministry of Justice and Security</t>
  </si>
  <si>
    <r>
      <t xml:space="preserve">Number of cases transferred by the advice and reporting centre for domestic violence and child abuse </t>
    </r>
    <r>
      <rPr>
        <b/>
        <i/>
        <sz val="12"/>
        <color theme="1"/>
        <rFont val="Times New Roman"/>
        <family val="1"/>
      </rPr>
      <t xml:space="preserve">(Veilig Thuis) </t>
    </r>
    <r>
      <rPr>
        <b/>
        <sz val="12"/>
        <color theme="1"/>
        <rFont val="Times New Roman"/>
        <family val="1"/>
      </rPr>
      <t xml:space="preserve">to organizations who provide care and support to victims. </t>
    </r>
  </si>
  <si>
    <r>
      <t xml:space="preserve">(Dutch: </t>
    </r>
    <r>
      <rPr>
        <i/>
        <sz val="12"/>
        <color theme="1"/>
        <rFont val="Times New Roman"/>
        <family val="1"/>
      </rPr>
      <t>reguliere opvang</t>
    </r>
    <r>
      <rPr>
        <sz val="12"/>
        <color theme="1"/>
        <rFont val="Times New Roman"/>
        <family val="1"/>
      </rPr>
      <t>)</t>
    </r>
  </si>
  <si>
    <r>
      <t xml:space="preserve">(Dutch: </t>
    </r>
    <r>
      <rPr>
        <i/>
        <sz val="12"/>
        <color theme="1"/>
        <rFont val="Times New Roman"/>
        <family val="1"/>
      </rPr>
      <t>noodopvang</t>
    </r>
    <r>
      <rPr>
        <sz val="12"/>
        <color theme="1"/>
        <rFont val="Times New Roman"/>
        <family val="1"/>
      </rPr>
      <t>)</t>
    </r>
  </si>
  <si>
    <r>
      <t xml:space="preserve">(Dutch: </t>
    </r>
    <r>
      <rPr>
        <i/>
        <sz val="12"/>
        <color theme="1"/>
        <rFont val="Times New Roman"/>
        <family val="1"/>
      </rPr>
      <t>Tijdelijke gemeentelijke opvang</t>
    </r>
    <r>
      <rPr>
        <sz val="12"/>
        <color theme="1"/>
        <rFont val="Times New Roman"/>
        <family val="1"/>
      </rPr>
      <t>)</t>
    </r>
  </si>
  <si>
    <r>
      <t xml:space="preserve">(Dutch: </t>
    </r>
    <r>
      <rPr>
        <i/>
        <sz val="12"/>
        <color theme="1"/>
        <rFont val="Times New Roman"/>
        <family val="1"/>
      </rPr>
      <t>niet-COA locaties</t>
    </r>
    <r>
      <rPr>
        <sz val="12"/>
        <color theme="1"/>
        <rFont val="Times New Roman"/>
        <family val="1"/>
      </rPr>
      <t>)</t>
    </r>
  </si>
  <si>
    <t>https://opendata.cbs.nl/statline/#/CBS/nl/dataset/83841NED/table?dl=A3F62</t>
  </si>
  <si>
    <t>Net income bottom 50%</t>
  </si>
  <si>
    <t>Wealth top 10%</t>
  </si>
  <si>
    <t>Wealth bottom 50%</t>
  </si>
  <si>
    <t>Ratio of income &amp; assets top 10% and bottom 50% (income) and bottom 50% (assets) over the past 10 years</t>
  </si>
  <si>
    <t>https://opendata.cbs.nl/#/CBS/nl/dataset/84114NED/table?ts=1713163353368</t>
  </si>
  <si>
    <t>GDP &amp; Budget</t>
  </si>
  <si>
    <t>Men</t>
  </si>
  <si>
    <t>Women</t>
  </si>
  <si>
    <t>Netherlands</t>
  </si>
  <si>
    <t>Outside Netherlands (total)</t>
  </si>
  <si>
    <t>Unemployment (percentage) age 15 - 75; gender, place of origin parents 2019 - 2023</t>
  </si>
  <si>
    <t>Indonesia</t>
  </si>
  <si>
    <t>Morocco</t>
  </si>
  <si>
    <t>Dutch Caribbean</t>
  </si>
  <si>
    <t>Surinam</t>
  </si>
  <si>
    <t>Türkiye</t>
  </si>
  <si>
    <t>Europe (excluding Netherlands)</t>
  </si>
  <si>
    <t>Source: https://opendata.cbs.nl/statline/#/CBS/nl/dataset/85456NED/table?ts=1718193458035</t>
  </si>
  <si>
    <t>Note: This data is based on the place of origin parents, and includes both persons born inside the Netherlands and outside. Persons with a non-Western background with parents born inside the Netherlands are considered as place of origin Netherlands.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</si>
</sst>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_ * #,##0_ ;_ * \-#,##0_ ;_ * &quot;-&quot;??_ ;_ @_ "/>
    <numFmt numFmtId="165" formatCode="_ * #,##0.000_ ;_ * \-#,##0.000_ ;_ * &quot;-&quot;??_ ;_ @_ "/>
    <numFmt numFmtId="166" formatCode="_ * #,##0.0_ ;_ * \-#,##0.0_ ;_ * &quot;-&quot;??_ ;_ @_ "/>
    <numFmt numFmtId="167" formatCode="0.000"/>
    <numFmt numFmtId="168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FFFF"/>
      <name val="Lato"/>
      <family val="2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i/>
      <sz val="8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Times New Roman"/>
      <family val="1"/>
    </font>
    <font>
      <b/>
      <i/>
      <sz val="12"/>
      <color theme="1"/>
      <name val="Times New Roman"/>
      <family val="1"/>
    </font>
    <font>
      <u/>
      <sz val="12"/>
      <color theme="10"/>
      <name val="Times New Roman"/>
      <family val="1"/>
    </font>
    <font>
      <i/>
      <u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8" fillId="0" borderId="0" xfId="0" applyFont="1"/>
    <xf numFmtId="164" fontId="2" fillId="0" borderId="0" xfId="0" applyNumberFormat="1" applyFont="1"/>
    <xf numFmtId="0" fontId="3" fillId="0" borderId="0" xfId="0" applyFont="1" applyAlignment="1">
      <alignment horizontal="left" indent="2"/>
    </xf>
    <xf numFmtId="164" fontId="3" fillId="0" borderId="0" xfId="1" applyNumberFormat="1" applyFont="1"/>
    <xf numFmtId="9" fontId="2" fillId="0" borderId="0" xfId="2" applyFont="1"/>
    <xf numFmtId="0" fontId="9" fillId="0" borderId="0" xfId="0" applyFont="1"/>
    <xf numFmtId="0" fontId="2" fillId="0" borderId="0" xfId="0" applyFont="1" applyAlignment="1">
      <alignment horizontal="left"/>
    </xf>
    <xf numFmtId="43" fontId="2" fillId="0" borderId="0" xfId="1" applyFont="1"/>
    <xf numFmtId="165" fontId="2" fillId="0" borderId="0" xfId="1" applyNumberFormat="1" applyFont="1"/>
    <xf numFmtId="166" fontId="2" fillId="0" borderId="0" xfId="1" applyNumberFormat="1" applyFont="1"/>
    <xf numFmtId="0" fontId="3" fillId="0" borderId="0" xfId="0" applyFont="1" applyAlignment="1">
      <alignment horizontal="left" indent="1"/>
    </xf>
    <xf numFmtId="0" fontId="3" fillId="0" borderId="0" xfId="0" applyFont="1"/>
    <xf numFmtId="0" fontId="3" fillId="0" borderId="0" xfId="0" applyFont="1" applyBorder="1"/>
    <xf numFmtId="164" fontId="2" fillId="0" borderId="0" xfId="1" applyNumberFormat="1" applyFont="1" applyBorder="1"/>
    <xf numFmtId="0" fontId="7" fillId="0" borderId="0" xfId="3"/>
    <xf numFmtId="165" fontId="2" fillId="0" borderId="0" xfId="0" applyNumberFormat="1" applyFont="1"/>
    <xf numFmtId="165" fontId="2" fillId="0" borderId="0" xfId="2" applyNumberFormat="1" applyFont="1"/>
    <xf numFmtId="166" fontId="3" fillId="0" borderId="1" xfId="1" applyNumberFormat="1" applyFont="1" applyBorder="1" applyAlignment="1">
      <alignment horizontal="right"/>
    </xf>
    <xf numFmtId="9" fontId="2" fillId="0" borderId="0" xfId="2" applyFont="1" applyAlignment="1">
      <alignment wrapText="1"/>
    </xf>
    <xf numFmtId="166" fontId="3" fillId="0" borderId="0" xfId="1" applyNumberFormat="1" applyFont="1" applyBorder="1" applyAlignment="1">
      <alignment horizontal="right"/>
    </xf>
    <xf numFmtId="0" fontId="2" fillId="0" borderId="0" xfId="0" applyFont="1" applyBorder="1"/>
    <xf numFmtId="2" fontId="2" fillId="0" borderId="0" xfId="0" applyNumberFormat="1" applyFont="1"/>
    <xf numFmtId="0" fontId="12" fillId="0" borderId="0" xfId="3" applyFont="1"/>
    <xf numFmtId="0" fontId="0" fillId="0" borderId="0" xfId="0" applyFill="1"/>
    <xf numFmtId="0" fontId="4" fillId="0" borderId="0" xfId="0" applyFont="1"/>
    <xf numFmtId="0" fontId="4" fillId="0" borderId="0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4" fillId="0" borderId="0" xfId="3" applyFo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" fillId="0" borderId="1" xfId="0" applyFont="1" applyFill="1" applyBorder="1" applyAlignment="1">
      <alignment vertical="center" wrapText="1"/>
    </xf>
    <xf numFmtId="164" fontId="2" fillId="0" borderId="3" xfId="1" applyNumberFormat="1" applyFont="1" applyBorder="1" applyAlignment="1">
      <alignment vertical="center"/>
    </xf>
    <xf numFmtId="164" fontId="6" fillId="0" borderId="3" xfId="1" applyNumberFormat="1" applyFont="1" applyBorder="1" applyAlignment="1">
      <alignment vertical="center"/>
    </xf>
    <xf numFmtId="164" fontId="2" fillId="0" borderId="3" xfId="1" applyNumberFormat="1" applyFont="1" applyBorder="1" applyAlignment="1">
      <alignment horizontal="right" vertical="center"/>
    </xf>
    <xf numFmtId="0" fontId="4" fillId="0" borderId="0" xfId="0" applyFont="1" applyFill="1" applyBorder="1"/>
    <xf numFmtId="164" fontId="2" fillId="0" borderId="0" xfId="1" applyNumberFormat="1" applyFont="1" applyFill="1" applyBorder="1"/>
    <xf numFmtId="164" fontId="4" fillId="0" borderId="0" xfId="1" applyNumberFormat="1" applyFont="1" applyFill="1" applyBorder="1"/>
    <xf numFmtId="164" fontId="2" fillId="0" borderId="0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167" fontId="4" fillId="0" borderId="3" xfId="0" applyNumberFormat="1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164" fontId="11" fillId="0" borderId="0" xfId="1" applyNumberFormat="1" applyFont="1" applyFill="1" applyAlignment="1">
      <alignment horizontal="right"/>
    </xf>
    <xf numFmtId="164" fontId="6" fillId="0" borderId="0" xfId="1" applyNumberFormat="1" applyFont="1" applyFill="1"/>
    <xf numFmtId="43" fontId="6" fillId="0" borderId="0" xfId="1" applyNumberFormat="1" applyFont="1" applyFill="1"/>
    <xf numFmtId="43" fontId="6" fillId="0" borderId="0" xfId="0" applyNumberFormat="1" applyFont="1" applyFill="1"/>
    <xf numFmtId="0" fontId="16" fillId="0" borderId="0" xfId="0" applyFont="1" applyFill="1" applyBorder="1" applyAlignment="1">
      <alignment vertical="center" wrapText="1"/>
    </xf>
    <xf numFmtId="168" fontId="6" fillId="0" borderId="3" xfId="2" applyNumberFormat="1" applyFont="1" applyBorder="1"/>
    <xf numFmtId="0" fontId="6" fillId="0" borderId="3" xfId="0" applyFont="1" applyBorder="1"/>
    <xf numFmtId="0" fontId="17" fillId="0" borderId="0" xfId="0" applyFont="1"/>
    <xf numFmtId="0" fontId="6" fillId="0" borderId="0" xfId="0" applyFont="1" applyBorder="1"/>
    <xf numFmtId="168" fontId="6" fillId="0" borderId="0" xfId="2" applyNumberFormat="1" applyFont="1" applyBorder="1"/>
    <xf numFmtId="0" fontId="6" fillId="0" borderId="3" xfId="0" applyFont="1" applyBorder="1" applyAlignment="1">
      <alignment vertical="center" wrapText="1"/>
    </xf>
    <xf numFmtId="168" fontId="6" fillId="0" borderId="3" xfId="2" applyNumberFormat="1" applyFont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168" fontId="6" fillId="0" borderId="3" xfId="2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167" fontId="2" fillId="0" borderId="8" xfId="0" applyNumberFormat="1" applyFont="1" applyBorder="1" applyAlignment="1">
      <alignment vertical="center" wrapText="1"/>
    </xf>
    <xf numFmtId="167" fontId="2" fillId="0" borderId="4" xfId="0" applyNumberFormat="1" applyFont="1" applyBorder="1" applyAlignment="1">
      <alignment vertical="center" wrapText="1"/>
    </xf>
    <xf numFmtId="167" fontId="2" fillId="0" borderId="6" xfId="0" applyNumberFormat="1" applyFont="1" applyBorder="1" applyAlignment="1">
      <alignment vertical="center" wrapText="1"/>
    </xf>
    <xf numFmtId="167" fontId="2" fillId="0" borderId="3" xfId="0" applyNumberFormat="1" applyFont="1" applyBorder="1" applyAlignment="1">
      <alignment vertical="center" wrapText="1"/>
    </xf>
    <xf numFmtId="9" fontId="2" fillId="0" borderId="6" xfId="0" applyNumberFormat="1" applyFont="1" applyBorder="1" applyAlignment="1">
      <alignment vertical="center" wrapText="1"/>
    </xf>
    <xf numFmtId="9" fontId="2" fillId="0" borderId="3" xfId="0" applyNumberFormat="1" applyFont="1" applyBorder="1" applyAlignment="1">
      <alignment vertical="center" wrapText="1"/>
    </xf>
    <xf numFmtId="167" fontId="2" fillId="0" borderId="4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opendata.cbs.nl/statline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rekenkamer.nl/onderwerpen/corona/coronarekening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dashboards.cbs.nl/v3/dashboardimpactmonitor_hgkm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20F87-EB07-4CDD-B9FF-EF50067AC7F2}">
  <dimension ref="A3:L13"/>
  <sheetViews>
    <sheetView workbookViewId="0">
      <selection activeCell="C21" sqref="C21"/>
    </sheetView>
  </sheetViews>
  <sheetFormatPr defaultColWidth="8.7265625" defaultRowHeight="15.5" x14ac:dyDescent="0.35"/>
  <cols>
    <col min="1" max="1" width="36" style="1" bestFit="1" customWidth="1"/>
    <col min="2" max="12" width="12.7265625" style="1" bestFit="1" customWidth="1"/>
    <col min="13" max="16384" width="8.7265625" style="1"/>
  </cols>
  <sheetData>
    <row r="3" spans="1:12" x14ac:dyDescent="0.35">
      <c r="B3" s="75" t="s">
        <v>136</v>
      </c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2" ht="16" thickBot="1" x14ac:dyDescent="0.4"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 t="s">
        <v>0</v>
      </c>
    </row>
    <row r="5" spans="1:12" x14ac:dyDescent="0.35">
      <c r="A5" s="1" t="s">
        <v>2</v>
      </c>
      <c r="B5" s="22">
        <v>652966</v>
      </c>
      <c r="C5" s="22">
        <v>660463</v>
      </c>
      <c r="D5" s="22">
        <v>671560</v>
      </c>
      <c r="E5" s="22">
        <v>690008</v>
      </c>
      <c r="F5" s="22">
        <v>708337</v>
      </c>
      <c r="G5" s="22">
        <v>738146</v>
      </c>
      <c r="H5" s="22">
        <v>773987</v>
      </c>
      <c r="I5" s="22">
        <v>813055</v>
      </c>
      <c r="J5" s="22">
        <v>796530</v>
      </c>
      <c r="K5" s="22">
        <v>870587</v>
      </c>
      <c r="L5" s="22">
        <v>958549</v>
      </c>
    </row>
    <row r="6" spans="1:12" x14ac:dyDescent="0.35">
      <c r="A6" s="1" t="s">
        <v>1</v>
      </c>
      <c r="B6" s="22">
        <v>38972</v>
      </c>
      <c r="C6" s="22">
        <v>39303</v>
      </c>
      <c r="D6" s="22">
        <v>39820</v>
      </c>
      <c r="E6" s="22">
        <v>40733</v>
      </c>
      <c r="F6" s="22">
        <v>41593</v>
      </c>
      <c r="G6" s="22">
        <v>43088</v>
      </c>
      <c r="H6" s="22">
        <v>44917</v>
      </c>
      <c r="I6" s="22">
        <v>46876</v>
      </c>
      <c r="J6" s="22">
        <v>45669</v>
      </c>
      <c r="K6" s="22">
        <v>49654</v>
      </c>
      <c r="L6" s="22">
        <v>54671</v>
      </c>
    </row>
    <row r="7" spans="1:12" x14ac:dyDescent="0.35">
      <c r="A7" s="1" t="s">
        <v>3</v>
      </c>
      <c r="B7" s="29">
        <v>66.2</v>
      </c>
      <c r="C7" s="29">
        <v>67.7</v>
      </c>
      <c r="D7" s="29">
        <v>67.900000000000006</v>
      </c>
      <c r="E7" s="29">
        <v>64.7</v>
      </c>
      <c r="F7" s="29">
        <v>61.9</v>
      </c>
      <c r="G7" s="29">
        <v>57</v>
      </c>
      <c r="H7" s="29">
        <v>52.4</v>
      </c>
      <c r="I7" s="29">
        <v>48.6</v>
      </c>
      <c r="J7" s="29">
        <v>54.7</v>
      </c>
      <c r="K7" s="29">
        <v>51.7</v>
      </c>
      <c r="L7" s="29">
        <v>50.1</v>
      </c>
    </row>
    <row r="8" spans="1:12" x14ac:dyDescent="0.35">
      <c r="A8" s="1" t="s">
        <v>41</v>
      </c>
      <c r="B8" s="29">
        <v>-25673</v>
      </c>
      <c r="C8" s="29">
        <v>-19528</v>
      </c>
      <c r="D8" s="29">
        <v>-15136</v>
      </c>
      <c r="E8" s="29">
        <v>-13411</v>
      </c>
      <c r="F8" s="29">
        <v>899</v>
      </c>
      <c r="G8" s="29">
        <v>10121</v>
      </c>
      <c r="H8" s="29">
        <v>11628</v>
      </c>
      <c r="I8" s="29">
        <v>14628</v>
      </c>
      <c r="J8" s="29">
        <v>-29588</v>
      </c>
      <c r="K8" s="29">
        <v>-19466</v>
      </c>
      <c r="L8" s="29">
        <v>-898</v>
      </c>
    </row>
    <row r="9" spans="1:12" x14ac:dyDescent="0.35">
      <c r="A9" s="1" t="s">
        <v>40</v>
      </c>
      <c r="B9" s="29">
        <v>-3.9</v>
      </c>
      <c r="C9" s="29">
        <v>-3</v>
      </c>
      <c r="D9" s="29">
        <v>-2.2999999999999998</v>
      </c>
      <c r="E9" s="29">
        <v>-1.9</v>
      </c>
      <c r="F9" s="29">
        <v>0.1</v>
      </c>
      <c r="G9" s="29">
        <v>1.4</v>
      </c>
      <c r="H9" s="29">
        <v>1.5</v>
      </c>
      <c r="I9" s="29">
        <v>1.8</v>
      </c>
      <c r="J9" s="29">
        <v>-3.7</v>
      </c>
      <c r="K9" s="29">
        <v>-2.2000000000000002</v>
      </c>
      <c r="L9" s="29">
        <v>-0.1</v>
      </c>
    </row>
    <row r="11" spans="1:12" x14ac:dyDescent="0.35">
      <c r="A11" s="14" t="s">
        <v>77</v>
      </c>
      <c r="B11" s="14" t="s">
        <v>76</v>
      </c>
    </row>
    <row r="12" spans="1:12" x14ac:dyDescent="0.35">
      <c r="A12" s="14" t="s">
        <v>78</v>
      </c>
      <c r="B12" s="14" t="s">
        <v>75</v>
      </c>
    </row>
    <row r="13" spans="1:12" x14ac:dyDescent="0.35">
      <c r="A13" s="14" t="s">
        <v>79</v>
      </c>
      <c r="B13" s="14" t="s">
        <v>135</v>
      </c>
    </row>
  </sheetData>
  <mergeCells count="1">
    <mergeCell ref="B3:L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2433E-40E3-44AE-8F6B-512952CC6AF7}">
  <dimension ref="A1:L11"/>
  <sheetViews>
    <sheetView workbookViewId="0">
      <selection activeCell="C38" sqref="C38"/>
    </sheetView>
  </sheetViews>
  <sheetFormatPr defaultRowHeight="14.5" x14ac:dyDescent="0.35"/>
  <cols>
    <col min="1" max="1" width="18.453125" customWidth="1"/>
  </cols>
  <sheetData>
    <row r="1" spans="1:12" ht="15.5" x14ac:dyDescent="0.35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5" x14ac:dyDescent="0.35">
      <c r="A2" s="1"/>
      <c r="B2" s="75" t="s">
        <v>5</v>
      </c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ht="16" thickBot="1" x14ac:dyDescent="0.4">
      <c r="A3" s="1"/>
      <c r="B3" s="5">
        <v>2012</v>
      </c>
      <c r="C3" s="5">
        <v>2013</v>
      </c>
      <c r="D3" s="5">
        <v>2014</v>
      </c>
      <c r="E3" s="5">
        <v>2015</v>
      </c>
      <c r="F3" s="5">
        <v>2016</v>
      </c>
      <c r="G3" s="5">
        <v>2017</v>
      </c>
      <c r="H3" s="5">
        <v>2018</v>
      </c>
      <c r="I3" s="5">
        <v>2019</v>
      </c>
      <c r="J3" s="5">
        <v>2020</v>
      </c>
      <c r="K3" s="5">
        <v>2021</v>
      </c>
      <c r="L3" s="6" t="s">
        <v>0</v>
      </c>
    </row>
    <row r="4" spans="1:12" ht="15.5" x14ac:dyDescent="0.35">
      <c r="A4" s="1" t="s">
        <v>6</v>
      </c>
      <c r="B4" s="1">
        <v>8</v>
      </c>
      <c r="C4" s="1">
        <v>8.9</v>
      </c>
      <c r="D4" s="1">
        <v>8.5</v>
      </c>
      <c r="E4" s="1">
        <v>8.1999999999999993</v>
      </c>
      <c r="F4" s="1">
        <v>7.9</v>
      </c>
      <c r="G4" s="1">
        <v>7.9</v>
      </c>
      <c r="H4" s="1">
        <v>7.9</v>
      </c>
      <c r="I4" s="1">
        <v>7.5</v>
      </c>
      <c r="J4" s="1">
        <v>6.8</v>
      </c>
      <c r="K4" s="1">
        <v>6.9</v>
      </c>
      <c r="L4" s="1">
        <v>4.4000000000000004</v>
      </c>
    </row>
    <row r="5" spans="1:12" ht="15.5" x14ac:dyDescent="0.35">
      <c r="A5" s="1" t="s">
        <v>7</v>
      </c>
      <c r="B5" s="1">
        <v>2.4</v>
      </c>
      <c r="C5" s="1">
        <v>2.7</v>
      </c>
      <c r="D5" s="1">
        <v>2.7</v>
      </c>
      <c r="E5" s="1">
        <v>3.1</v>
      </c>
      <c r="F5" s="1">
        <v>3.2</v>
      </c>
      <c r="G5" s="1">
        <v>3.3</v>
      </c>
      <c r="H5" s="1">
        <v>3.3</v>
      </c>
      <c r="I5" s="1">
        <v>3.4</v>
      </c>
      <c r="J5" s="1">
        <v>3.1</v>
      </c>
      <c r="K5" s="1">
        <v>3</v>
      </c>
      <c r="L5" s="1">
        <v>1.8</v>
      </c>
    </row>
    <row r="6" spans="1:12" ht="15.5" x14ac:dyDescent="0.35">
      <c r="A6" s="1"/>
      <c r="B6" s="75" t="s">
        <v>8</v>
      </c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2" ht="16" thickBot="1" x14ac:dyDescent="0.4">
      <c r="A7" s="1"/>
      <c r="B7" s="5">
        <v>2012</v>
      </c>
      <c r="C7" s="5">
        <v>2013</v>
      </c>
      <c r="D7" s="5">
        <v>2014</v>
      </c>
      <c r="E7" s="5">
        <v>2015</v>
      </c>
      <c r="F7" s="5">
        <v>2016</v>
      </c>
      <c r="G7" s="5">
        <v>2017</v>
      </c>
      <c r="H7" s="5">
        <v>2018</v>
      </c>
      <c r="I7" s="5">
        <v>2019</v>
      </c>
      <c r="J7" s="5">
        <v>2020</v>
      </c>
      <c r="K7" s="5">
        <v>2021</v>
      </c>
      <c r="L7" s="6" t="s">
        <v>0</v>
      </c>
    </row>
    <row r="8" spans="1:12" ht="15.5" x14ac:dyDescent="0.35">
      <c r="A8" s="1" t="s">
        <v>6</v>
      </c>
      <c r="B8" s="1">
        <v>7</v>
      </c>
      <c r="C8" s="1">
        <v>7.3</v>
      </c>
      <c r="D8" s="1">
        <v>7.4</v>
      </c>
      <c r="E8" s="1">
        <v>7.2</v>
      </c>
      <c r="F8" s="1">
        <v>7.3</v>
      </c>
      <c r="G8" s="1">
        <v>7.2</v>
      </c>
      <c r="H8" s="1">
        <v>7</v>
      </c>
      <c r="I8" s="1">
        <v>6.8</v>
      </c>
      <c r="J8" s="1">
        <v>6.8</v>
      </c>
      <c r="K8" s="1">
        <v>6.5</v>
      </c>
      <c r="L8" s="1">
        <v>6.4</v>
      </c>
    </row>
    <row r="9" spans="1:12" ht="15.5" x14ac:dyDescent="0.35">
      <c r="A9" s="1" t="s">
        <v>7</v>
      </c>
      <c r="B9" s="1">
        <v>2.1</v>
      </c>
      <c r="C9" s="1">
        <v>2.2999999999999998</v>
      </c>
      <c r="D9" s="1">
        <v>2.4</v>
      </c>
      <c r="E9" s="1">
        <v>2.6</v>
      </c>
      <c r="F9" s="1">
        <v>2.8</v>
      </c>
      <c r="G9" s="1">
        <v>2.9</v>
      </c>
      <c r="H9" s="1">
        <v>3</v>
      </c>
      <c r="I9" s="1">
        <v>3.2</v>
      </c>
      <c r="J9" s="1">
        <v>3.3</v>
      </c>
      <c r="K9" s="1">
        <v>3.2</v>
      </c>
      <c r="L9" s="1">
        <v>3.2</v>
      </c>
    </row>
    <row r="11" spans="1:12" x14ac:dyDescent="0.35">
      <c r="A11" s="9" t="s">
        <v>74</v>
      </c>
      <c r="B11" s="9" t="s">
        <v>130</v>
      </c>
    </row>
  </sheetData>
  <mergeCells count="2">
    <mergeCell ref="B2:L2"/>
    <mergeCell ref="B6: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DA74-1802-42F0-817D-3143AD239952}">
  <dimension ref="A1:M13"/>
  <sheetViews>
    <sheetView workbookViewId="0">
      <selection activeCell="H27" sqref="H27"/>
    </sheetView>
  </sheetViews>
  <sheetFormatPr defaultRowHeight="14.5" x14ac:dyDescent="0.35"/>
  <cols>
    <col min="1" max="1" width="22.81640625" bestFit="1" customWidth="1"/>
    <col min="2" max="9" width="12.1796875" bestFit="1" customWidth="1"/>
    <col min="10" max="12" width="13.26953125" bestFit="1" customWidth="1"/>
  </cols>
  <sheetData>
    <row r="1" spans="1:13" ht="15.5" x14ac:dyDescent="0.45">
      <c r="A1" s="7" t="s">
        <v>9</v>
      </c>
    </row>
    <row r="2" spans="1:13" ht="15.5" x14ac:dyDescent="0.35">
      <c r="A2" s="1"/>
      <c r="B2" s="75" t="s">
        <v>134</v>
      </c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3" ht="16" thickBot="1" x14ac:dyDescent="0.4">
      <c r="A3" s="1"/>
      <c r="B3" s="5">
        <v>2012</v>
      </c>
      <c r="C3" s="5">
        <v>2013</v>
      </c>
      <c r="D3" s="5">
        <v>2014</v>
      </c>
      <c r="E3" s="5">
        <v>2015</v>
      </c>
      <c r="F3" s="5">
        <v>2016</v>
      </c>
      <c r="G3" s="5">
        <v>2017</v>
      </c>
      <c r="H3" s="5">
        <v>2018</v>
      </c>
      <c r="I3" s="5">
        <v>2019</v>
      </c>
      <c r="J3" s="5">
        <v>2020</v>
      </c>
      <c r="K3" s="5">
        <v>2021</v>
      </c>
      <c r="L3" s="6" t="s">
        <v>0</v>
      </c>
    </row>
    <row r="4" spans="1:13" x14ac:dyDescent="0.35">
      <c r="A4" s="8" t="s">
        <v>10</v>
      </c>
      <c r="B4" s="61">
        <v>65090</v>
      </c>
      <c r="C4" s="61">
        <v>65694</v>
      </c>
      <c r="D4" s="62">
        <v>74729</v>
      </c>
      <c r="E4" s="62">
        <v>69971</v>
      </c>
      <c r="F4" s="62">
        <v>74045</v>
      </c>
      <c r="G4" s="62">
        <v>80121</v>
      </c>
      <c r="H4" s="62">
        <v>81683</v>
      </c>
      <c r="I4" s="62">
        <v>95384</v>
      </c>
      <c r="J4" s="62">
        <v>91512</v>
      </c>
      <c r="K4" s="62">
        <v>96553</v>
      </c>
      <c r="L4" s="63">
        <v>100838</v>
      </c>
      <c r="M4" s="8" t="s">
        <v>11</v>
      </c>
    </row>
    <row r="5" spans="1:13" x14ac:dyDescent="0.35">
      <c r="A5" s="8" t="s">
        <v>131</v>
      </c>
      <c r="B5" s="62">
        <f>6338+13086+16180+19415+22679</f>
        <v>77698</v>
      </c>
      <c r="C5" s="62">
        <f>6526+13175+16238+19516+22948</f>
        <v>78403</v>
      </c>
      <c r="D5" s="62">
        <f>7094+13665+16649+19977+23656</f>
        <v>81041</v>
      </c>
      <c r="E5" s="62">
        <f>7102+13971+16906+20270+24097</f>
        <v>82346</v>
      </c>
      <c r="F5" s="62">
        <f>7703+14370+17507+20983+25046</f>
        <v>85609</v>
      </c>
      <c r="G5" s="62">
        <f>8039+14800+17974+21605+25801</f>
        <v>88219</v>
      </c>
      <c r="H5" s="62">
        <f>8417+15346+18567+22393+26814</f>
        <v>91537</v>
      </c>
      <c r="I5" s="62">
        <f>8986+16126+19484+23727+28291</f>
        <v>96614</v>
      </c>
      <c r="J5" s="62">
        <f>9346+16753+20384+24729+29622</f>
        <v>100834</v>
      </c>
      <c r="K5" s="62">
        <f>9996+17484+21218+26021+31031</f>
        <v>105750</v>
      </c>
      <c r="L5" s="63">
        <f>11387+18958+22512+27557+32840</f>
        <v>113254</v>
      </c>
      <c r="M5" s="8" t="s">
        <v>11</v>
      </c>
    </row>
    <row r="6" spans="1:13" x14ac:dyDescent="0.35">
      <c r="A6" s="8" t="s">
        <v>73</v>
      </c>
      <c r="B6" s="63">
        <f>B4/B5</f>
        <v>0.83773070091894253</v>
      </c>
      <c r="C6" s="63">
        <f t="shared" ref="C6:L6" si="0">C4/C5</f>
        <v>0.83790161090774584</v>
      </c>
      <c r="D6" s="63">
        <f t="shared" si="0"/>
        <v>0.92211349810589704</v>
      </c>
      <c r="E6" s="63">
        <f t="shared" si="0"/>
        <v>0.84971947635586431</v>
      </c>
      <c r="F6" s="63">
        <f t="shared" si="0"/>
        <v>0.86492074431426602</v>
      </c>
      <c r="G6" s="63">
        <f t="shared" si="0"/>
        <v>0.90820571532209615</v>
      </c>
      <c r="H6" s="63">
        <f t="shared" si="0"/>
        <v>0.89234954171537195</v>
      </c>
      <c r="I6" s="63">
        <f t="shared" si="0"/>
        <v>0.98726892582855486</v>
      </c>
      <c r="J6" s="63">
        <f t="shared" si="0"/>
        <v>0.90755102445603664</v>
      </c>
      <c r="K6" s="63">
        <f t="shared" si="0"/>
        <v>0.91303073286052006</v>
      </c>
      <c r="L6" s="63">
        <f t="shared" si="0"/>
        <v>0.89037031804616174</v>
      </c>
      <c r="M6" s="8"/>
    </row>
    <row r="7" spans="1:13" x14ac:dyDescent="0.35">
      <c r="A7" s="8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8"/>
    </row>
    <row r="8" spans="1:13" x14ac:dyDescent="0.35">
      <c r="A8" s="8" t="s">
        <v>132</v>
      </c>
      <c r="B8" s="64">
        <v>470.6</v>
      </c>
      <c r="C8" s="64">
        <v>473.7</v>
      </c>
      <c r="D8" s="64">
        <v>485.7</v>
      </c>
      <c r="E8" s="64">
        <v>474.1</v>
      </c>
      <c r="F8" s="64">
        <v>504.6</v>
      </c>
      <c r="G8" s="64">
        <v>560.29999999999995</v>
      </c>
      <c r="H8" s="64">
        <v>595</v>
      </c>
      <c r="I8" s="64">
        <v>659.6</v>
      </c>
      <c r="J8" s="64">
        <v>694</v>
      </c>
      <c r="K8" s="64">
        <v>723.2</v>
      </c>
      <c r="L8" s="64">
        <v>812.2</v>
      </c>
      <c r="M8" s="8" t="s">
        <v>12</v>
      </c>
    </row>
    <row r="9" spans="1:13" x14ac:dyDescent="0.35">
      <c r="A9" s="8" t="s">
        <v>133</v>
      </c>
      <c r="B9" s="64">
        <f>36.4+19.1+33.5+56.1+74</f>
        <v>219.1</v>
      </c>
      <c r="C9" s="64">
        <f>35.8+18.2+28.9+50.3+68.6</f>
        <v>201.79999999999998</v>
      </c>
      <c r="D9" s="64">
        <f>34.1+17+28.4+51.7+69.9</f>
        <v>201.1</v>
      </c>
      <c r="E9" s="64">
        <f>56.7+20.9+32.3+58.4+77.8</f>
        <v>246.09999999999997</v>
      </c>
      <c r="F9" s="64">
        <f>48.5+22.3+37.1+63.7+83.1</f>
        <v>254.70000000000002</v>
      </c>
      <c r="G9" s="64">
        <f>65+25.3+40.9+69.2+90.5</f>
        <v>290.89999999999998</v>
      </c>
      <c r="H9" s="64">
        <f>68.6+30.3+47+78.9+102.3</f>
        <v>327.09999999999997</v>
      </c>
      <c r="I9" s="64">
        <f>65.3+33.8+51.5+89+112.3</f>
        <v>351.9</v>
      </c>
      <c r="J9" s="64">
        <f>82+39.7+60.7+102.6+128.5</f>
        <v>413.5</v>
      </c>
      <c r="K9" s="64">
        <f>77.7+42.9+67.3+116.7+145.4</f>
        <v>450</v>
      </c>
      <c r="L9" s="64">
        <f>88.6+49.4+83.5+151.1+183</f>
        <v>555.6</v>
      </c>
      <c r="M9" s="8" t="s">
        <v>12</v>
      </c>
    </row>
    <row r="10" spans="1:13" x14ac:dyDescent="0.35">
      <c r="A10" s="8" t="s">
        <v>73</v>
      </c>
      <c r="B10" s="64">
        <f>B8/B9</f>
        <v>2.1478776814240073</v>
      </c>
      <c r="C10" s="64">
        <f t="shared" ref="C10:L10" si="1">C8/C9</f>
        <v>2.3473736372646186</v>
      </c>
      <c r="D10" s="64">
        <f t="shared" si="1"/>
        <v>2.4152163102933866</v>
      </c>
      <c r="E10" s="64">
        <f t="shared" si="1"/>
        <v>1.9264526615197077</v>
      </c>
      <c r="F10" s="64">
        <f t="shared" si="1"/>
        <v>1.9811542991755005</v>
      </c>
      <c r="G10" s="64">
        <f t="shared" si="1"/>
        <v>1.9260914403575111</v>
      </c>
      <c r="H10" s="64">
        <f t="shared" si="1"/>
        <v>1.8190155915622135</v>
      </c>
      <c r="I10" s="64">
        <f t="shared" si="1"/>
        <v>1.8743961352657006</v>
      </c>
      <c r="J10" s="64">
        <f t="shared" si="1"/>
        <v>1.6783555018137848</v>
      </c>
      <c r="K10" s="64">
        <f t="shared" si="1"/>
        <v>1.6071111111111112</v>
      </c>
      <c r="L10" s="64">
        <f t="shared" si="1"/>
        <v>1.4618430525557955</v>
      </c>
      <c r="M10" s="8"/>
    </row>
    <row r="12" spans="1:13" x14ac:dyDescent="0.35">
      <c r="A12" s="14" t="s">
        <v>13</v>
      </c>
      <c r="B12" s="14" t="s">
        <v>14</v>
      </c>
    </row>
    <row r="13" spans="1:13" x14ac:dyDescent="0.35">
      <c r="A13" s="14" t="s">
        <v>15</v>
      </c>
      <c r="B13" s="31" t="s">
        <v>16</v>
      </c>
    </row>
  </sheetData>
  <mergeCells count="1">
    <mergeCell ref="B2:L2"/>
  </mergeCells>
  <hyperlinks>
    <hyperlink ref="B13" r:id="rId1" location="/CBS/nl/dataset/83834NED/table?dl=A2515" display="https://opendata.cbs.nl/statline/ - /CBS/nl/dataset/83834NED/table?dl=A2515" xr:uid="{5ACFB8C0-FAEF-4147-9E21-741CC27B0661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C6153-9D7A-4AF6-BDD3-E28AD23059A4}">
  <dimension ref="A4:M16"/>
  <sheetViews>
    <sheetView workbookViewId="0">
      <selection activeCell="G19" sqref="G19"/>
    </sheetView>
  </sheetViews>
  <sheetFormatPr defaultColWidth="8.7265625" defaultRowHeight="15.5" x14ac:dyDescent="0.35"/>
  <cols>
    <col min="1" max="1" width="66" style="1" bestFit="1" customWidth="1"/>
    <col min="2" max="2" width="13.1796875" style="1" bestFit="1" customWidth="1"/>
    <col min="3" max="10" width="12.81640625" style="1" bestFit="1" customWidth="1"/>
    <col min="11" max="12" width="13.26953125" style="1" bestFit="1" customWidth="1"/>
    <col min="13" max="16384" width="8.7265625" style="1"/>
  </cols>
  <sheetData>
    <row r="4" spans="1:13" x14ac:dyDescent="0.35"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  <c r="H4" s="3">
        <v>2018</v>
      </c>
      <c r="I4" s="3">
        <v>2019</v>
      </c>
      <c r="J4" s="3">
        <v>2020</v>
      </c>
      <c r="K4" s="3">
        <v>2021</v>
      </c>
      <c r="L4" s="4" t="s">
        <v>0</v>
      </c>
    </row>
    <row r="5" spans="1:13" x14ac:dyDescent="0.35">
      <c r="A5" s="1" t="s">
        <v>22</v>
      </c>
      <c r="B5" s="1">
        <v>281370</v>
      </c>
      <c r="C5" s="1">
        <v>289840</v>
      </c>
      <c r="D5" s="1">
        <v>294353</v>
      </c>
      <c r="E5" s="1">
        <v>296054</v>
      </c>
      <c r="F5" s="1">
        <v>310066</v>
      </c>
      <c r="G5" s="1">
        <v>323531</v>
      </c>
      <c r="H5" s="1">
        <v>338867</v>
      </c>
      <c r="I5" s="1">
        <v>357121</v>
      </c>
      <c r="J5" s="1">
        <v>351403</v>
      </c>
      <c r="K5" s="1">
        <v>380695</v>
      </c>
      <c r="L5" s="1">
        <v>416023</v>
      </c>
      <c r="M5" s="14" t="s">
        <v>19</v>
      </c>
    </row>
    <row r="6" spans="1:13" x14ac:dyDescent="0.35">
      <c r="A6" s="1" t="s">
        <v>20</v>
      </c>
      <c r="B6" s="2">
        <f>41777+6771+12870</f>
        <v>61418</v>
      </c>
      <c r="C6" s="2">
        <f>42408+6912+14165</f>
        <v>63485</v>
      </c>
      <c r="D6" s="2">
        <f>42951+7311+14782</f>
        <v>65044</v>
      </c>
      <c r="E6" s="2">
        <f>44746+6839+15648</f>
        <v>67233</v>
      </c>
      <c r="F6" s="2">
        <f>47849+8339+15720</f>
        <v>71908</v>
      </c>
      <c r="G6" s="2">
        <f>49833+8990+16220</f>
        <v>75043</v>
      </c>
      <c r="H6" s="2">
        <f>52712+9679+17431</f>
        <v>79822</v>
      </c>
      <c r="I6" s="2">
        <f>58115+10060+18270</f>
        <v>86445</v>
      </c>
      <c r="J6" s="2">
        <f>58971+9131+17841</f>
        <v>85943</v>
      </c>
      <c r="K6" s="2">
        <f>65400+9469+18832</f>
        <v>93701</v>
      </c>
      <c r="L6" s="2">
        <f>69928+9264+16180</f>
        <v>95372</v>
      </c>
      <c r="M6" s="14" t="s">
        <v>19</v>
      </c>
    </row>
    <row r="7" spans="1:13" x14ac:dyDescent="0.35">
      <c r="A7" s="1" t="s">
        <v>18</v>
      </c>
      <c r="B7" s="2">
        <f>B8+B9</f>
        <v>66615</v>
      </c>
      <c r="C7" s="2">
        <f t="shared" ref="C7:L7" si="0">C8+C9</f>
        <v>67332</v>
      </c>
      <c r="D7" s="2">
        <f t="shared" si="0"/>
        <v>72298</v>
      </c>
      <c r="E7" s="2">
        <f t="shared" si="0"/>
        <v>79374</v>
      </c>
      <c r="F7" s="2">
        <f t="shared" si="0"/>
        <v>83412</v>
      </c>
      <c r="G7" s="2">
        <f t="shared" si="0"/>
        <v>95374</v>
      </c>
      <c r="H7" s="2">
        <f t="shared" si="0"/>
        <v>98382</v>
      </c>
      <c r="I7" s="2">
        <f t="shared" si="0"/>
        <v>108862</v>
      </c>
      <c r="J7" s="2">
        <f t="shared" si="0"/>
        <v>107178</v>
      </c>
      <c r="K7" s="2">
        <f t="shared" si="0"/>
        <v>118755</v>
      </c>
      <c r="L7" s="2">
        <f t="shared" si="0"/>
        <v>135888</v>
      </c>
      <c r="M7" s="14" t="s">
        <v>19</v>
      </c>
    </row>
    <row r="8" spans="1:13" x14ac:dyDescent="0.35">
      <c r="A8" s="11" t="s">
        <v>21</v>
      </c>
      <c r="B8" s="12">
        <v>58468</v>
      </c>
      <c r="C8" s="12">
        <v>58740</v>
      </c>
      <c r="D8" s="12">
        <v>63392</v>
      </c>
      <c r="E8" s="12">
        <v>70304</v>
      </c>
      <c r="F8" s="12">
        <v>73993</v>
      </c>
      <c r="G8" s="12">
        <v>85761</v>
      </c>
      <c r="H8" s="12">
        <v>88769</v>
      </c>
      <c r="I8" s="12">
        <v>99003</v>
      </c>
      <c r="J8" s="12">
        <v>96870</v>
      </c>
      <c r="K8" s="12">
        <v>107989</v>
      </c>
      <c r="L8" s="12">
        <v>124683</v>
      </c>
      <c r="M8" s="14" t="s">
        <v>19</v>
      </c>
    </row>
    <row r="9" spans="1:13" x14ac:dyDescent="0.35">
      <c r="A9" s="11" t="s">
        <v>17</v>
      </c>
      <c r="B9" s="12">
        <f>6764+1383</f>
        <v>8147</v>
      </c>
      <c r="C9" s="12">
        <f>6861+1731</f>
        <v>8592</v>
      </c>
      <c r="D9" s="12">
        <f>7381+1525</f>
        <v>8906</v>
      </c>
      <c r="E9" s="12">
        <f>7456+1614</f>
        <v>9070</v>
      </c>
      <c r="F9" s="12">
        <f>7573+1846</f>
        <v>9419</v>
      </c>
      <c r="G9" s="12">
        <f>7772+1841</f>
        <v>9613</v>
      </c>
      <c r="H9" s="12">
        <f>7882+1731</f>
        <v>9613</v>
      </c>
      <c r="I9" s="12">
        <f>8082+1777</f>
        <v>9859</v>
      </c>
      <c r="J9" s="12">
        <f>8227+2081</f>
        <v>10308</v>
      </c>
      <c r="K9" s="12">
        <f>8270+2496</f>
        <v>10766</v>
      </c>
      <c r="L9" s="12">
        <f>8591+2614</f>
        <v>11205</v>
      </c>
      <c r="M9" s="14" t="s">
        <v>19</v>
      </c>
    </row>
    <row r="10" spans="1:13" x14ac:dyDescent="0.35">
      <c r="A10" s="1" t="s">
        <v>24</v>
      </c>
      <c r="B10" s="2">
        <f>135552+98313</f>
        <v>233865</v>
      </c>
      <c r="C10" s="2">
        <f>139097+100932</f>
        <v>240029</v>
      </c>
      <c r="D10" s="2">
        <f>147691+102015</f>
        <v>249706</v>
      </c>
      <c r="E10" s="2">
        <f>155687+99833</f>
        <v>255520</v>
      </c>
      <c r="F10" s="2">
        <f>165039+107486</f>
        <v>272525</v>
      </c>
      <c r="G10" s="2">
        <f>180549+105535</f>
        <v>286084</v>
      </c>
      <c r="H10" s="2">
        <f>188887+111734</f>
        <v>300621</v>
      </c>
      <c r="I10" s="2">
        <f>206355+113150</f>
        <v>319505</v>
      </c>
      <c r="J10" s="2">
        <f>205249+112486</f>
        <v>317735</v>
      </c>
      <c r="K10" s="2">
        <f>224929+116739</f>
        <v>341668</v>
      </c>
      <c r="L10" s="2">
        <f>243099+125551</f>
        <v>368650</v>
      </c>
      <c r="M10" s="14" t="s">
        <v>19</v>
      </c>
    </row>
    <row r="11" spans="1:13" x14ac:dyDescent="0.35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3" x14ac:dyDescent="0.35">
      <c r="A12" s="1" t="s">
        <v>23</v>
      </c>
      <c r="B12" s="13">
        <f t="shared" ref="B12:L12" si="1">B10/B5</f>
        <v>0.83116536944237129</v>
      </c>
      <c r="C12" s="13">
        <f t="shared" si="1"/>
        <v>0.82814311344189895</v>
      </c>
      <c r="D12" s="13">
        <f t="shared" si="1"/>
        <v>0.84832157307722356</v>
      </c>
      <c r="E12" s="13">
        <f t="shared" si="1"/>
        <v>0.86308578840346695</v>
      </c>
      <c r="F12" s="13">
        <f t="shared" si="1"/>
        <v>0.87892577709261899</v>
      </c>
      <c r="G12" s="13">
        <f t="shared" si="1"/>
        <v>0.88425529547400405</v>
      </c>
      <c r="H12" s="13">
        <f t="shared" si="1"/>
        <v>0.88713566089350693</v>
      </c>
      <c r="I12" s="13">
        <f t="shared" si="1"/>
        <v>0.89466875372772814</v>
      </c>
      <c r="J12" s="13">
        <f t="shared" si="1"/>
        <v>0.90418977641055998</v>
      </c>
      <c r="K12" s="13">
        <f t="shared" si="1"/>
        <v>0.89748486321070675</v>
      </c>
      <c r="L12" s="13">
        <f t="shared" si="1"/>
        <v>0.88612889191222599</v>
      </c>
    </row>
    <row r="13" spans="1:13" x14ac:dyDescent="0.35">
      <c r="A13" s="1" t="s">
        <v>27</v>
      </c>
      <c r="B13" s="13">
        <f>B5/'1. GDP and public debt'!B5</f>
        <v>0.43091064465837425</v>
      </c>
      <c r="C13" s="13">
        <f>C5/'1. GDP and public debt'!C5</f>
        <v>0.43884365967510669</v>
      </c>
      <c r="D13" s="13">
        <f>D5/'1. GDP and public debt'!D5</f>
        <v>0.43831228780749298</v>
      </c>
      <c r="E13" s="13">
        <f>E5/'1. GDP and public debt'!E5</f>
        <v>0.42905879352123455</v>
      </c>
      <c r="F13" s="13">
        <f>F5/'1. GDP and public debt'!F5</f>
        <v>0.43773796935639392</v>
      </c>
      <c r="G13" s="13">
        <f>G5/'1. GDP and public debt'!G5</f>
        <v>0.43830217870177446</v>
      </c>
      <c r="H13" s="13">
        <f>H5/'1. GDP and public debt'!H5</f>
        <v>0.43782001506485252</v>
      </c>
      <c r="I13" s="13">
        <f>I5/'1. GDP and public debt'!I5</f>
        <v>0.43923350818825296</v>
      </c>
      <c r="J13" s="13">
        <f>J5/'1. GDP and public debt'!J5</f>
        <v>0.44116731322109648</v>
      </c>
      <c r="K13" s="13">
        <f>K5/'1. GDP and public debt'!K5</f>
        <v>0.43728541776984953</v>
      </c>
      <c r="L13" s="13">
        <f>L5/'1. GDP and public debt'!L5</f>
        <v>0.43401328466254724</v>
      </c>
    </row>
    <row r="15" spans="1:13" x14ac:dyDescent="0.35">
      <c r="A15" s="14" t="s">
        <v>80</v>
      </c>
      <c r="B15" s="14" t="s">
        <v>25</v>
      </c>
    </row>
    <row r="16" spans="1:13" x14ac:dyDescent="0.35">
      <c r="A16" s="14" t="s">
        <v>81</v>
      </c>
      <c r="B16" s="14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65B08-E04E-473E-B31E-E876466C1316}">
  <dimension ref="A4:M18"/>
  <sheetViews>
    <sheetView workbookViewId="0">
      <selection activeCell="B17" sqref="B17"/>
    </sheetView>
  </sheetViews>
  <sheetFormatPr defaultColWidth="8.7265625" defaultRowHeight="15.5" x14ac:dyDescent="0.35"/>
  <cols>
    <col min="1" max="1" width="53.1796875" style="1" customWidth="1"/>
    <col min="2" max="2" width="13.1796875" style="1" bestFit="1" customWidth="1"/>
    <col min="3" max="10" width="12.81640625" style="1" bestFit="1" customWidth="1"/>
    <col min="11" max="12" width="13.26953125" style="1" bestFit="1" customWidth="1"/>
    <col min="13" max="16384" width="8.7265625" style="1"/>
  </cols>
  <sheetData>
    <row r="4" spans="1:13" x14ac:dyDescent="0.35"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  <c r="H4" s="3">
        <v>2018</v>
      </c>
      <c r="I4" s="3">
        <v>2019</v>
      </c>
      <c r="J4" s="3">
        <v>2020</v>
      </c>
      <c r="K4" s="3">
        <v>2021</v>
      </c>
      <c r="L4" s="4" t="s">
        <v>0</v>
      </c>
    </row>
    <row r="5" spans="1:13" x14ac:dyDescent="0.35">
      <c r="A5" s="1" t="s">
        <v>28</v>
      </c>
      <c r="B5" s="2">
        <v>307043</v>
      </c>
      <c r="C5" s="2">
        <v>309368</v>
      </c>
      <c r="D5" s="2">
        <v>309489</v>
      </c>
      <c r="E5" s="2">
        <v>309465</v>
      </c>
      <c r="F5" s="2">
        <v>309167</v>
      </c>
      <c r="G5" s="2">
        <v>313410</v>
      </c>
      <c r="H5" s="2">
        <v>327239</v>
      </c>
      <c r="I5" s="2">
        <v>342493</v>
      </c>
      <c r="J5" s="2">
        <v>380991</v>
      </c>
      <c r="K5" s="2">
        <v>400161</v>
      </c>
      <c r="L5" s="2">
        <v>416921</v>
      </c>
      <c r="M5" s="14" t="s">
        <v>19</v>
      </c>
    </row>
    <row r="6" spans="1:13" x14ac:dyDescent="0.35">
      <c r="A6" s="1" t="s">
        <v>29</v>
      </c>
      <c r="B6" s="2">
        <v>110910</v>
      </c>
      <c r="C6" s="2">
        <v>113533</v>
      </c>
      <c r="D6" s="2">
        <v>114457</v>
      </c>
      <c r="E6" s="2">
        <v>116259</v>
      </c>
      <c r="F6" s="2">
        <v>119080</v>
      </c>
      <c r="G6" s="2">
        <v>120374</v>
      </c>
      <c r="H6" s="2">
        <v>123266</v>
      </c>
      <c r="I6" s="2">
        <v>128889</v>
      </c>
      <c r="J6" s="2">
        <v>137186</v>
      </c>
      <c r="K6" s="2">
        <v>142284</v>
      </c>
      <c r="L6" s="2">
        <v>148932</v>
      </c>
      <c r="M6" s="14" t="s">
        <v>19</v>
      </c>
    </row>
    <row r="7" spans="1:13" x14ac:dyDescent="0.35">
      <c r="A7" s="19" t="s">
        <v>35</v>
      </c>
      <c r="B7" s="12">
        <v>32235</v>
      </c>
      <c r="C7" s="12">
        <v>31648</v>
      </c>
      <c r="D7" s="12">
        <v>30643</v>
      </c>
      <c r="E7" s="12">
        <v>29561</v>
      </c>
      <c r="F7" s="12">
        <v>29640</v>
      </c>
      <c r="G7" s="12">
        <v>30383</v>
      </c>
      <c r="H7" s="12">
        <v>31545</v>
      </c>
      <c r="I7" s="12">
        <v>33125</v>
      </c>
      <c r="J7" s="12">
        <v>35382</v>
      </c>
      <c r="K7" s="12">
        <v>36662</v>
      </c>
      <c r="L7" s="12">
        <v>38915</v>
      </c>
      <c r="M7" s="14" t="s">
        <v>19</v>
      </c>
    </row>
    <row r="8" spans="1:13" x14ac:dyDescent="0.35">
      <c r="A8" s="1" t="s">
        <v>30</v>
      </c>
      <c r="B8" s="2">
        <v>3627</v>
      </c>
      <c r="C8" s="2">
        <v>3699</v>
      </c>
      <c r="D8" s="2">
        <v>3418</v>
      </c>
      <c r="E8" s="2">
        <v>3292</v>
      </c>
      <c r="F8" s="2">
        <v>2960</v>
      </c>
      <c r="G8" s="1">
        <v>2752</v>
      </c>
      <c r="H8" s="2">
        <v>3456</v>
      </c>
      <c r="I8" s="2">
        <v>3635</v>
      </c>
      <c r="J8" s="2">
        <v>3765</v>
      </c>
      <c r="K8" s="2">
        <v>4066</v>
      </c>
      <c r="L8" s="2">
        <v>4584</v>
      </c>
      <c r="M8" s="14" t="s">
        <v>19</v>
      </c>
    </row>
    <row r="9" spans="1:13" x14ac:dyDescent="0.35">
      <c r="A9" s="19" t="s">
        <v>38</v>
      </c>
      <c r="B9" s="20">
        <v>129</v>
      </c>
      <c r="C9" s="20">
        <v>123</v>
      </c>
      <c r="D9" s="20">
        <v>177</v>
      </c>
      <c r="E9" s="20">
        <v>171</v>
      </c>
      <c r="F9" s="20">
        <v>171</v>
      </c>
      <c r="G9" s="20">
        <v>189</v>
      </c>
      <c r="H9" s="20">
        <v>212</v>
      </c>
      <c r="I9" s="20">
        <v>218</v>
      </c>
      <c r="J9" s="20">
        <v>121</v>
      </c>
      <c r="K9" s="20">
        <v>122</v>
      </c>
      <c r="L9" s="20">
        <v>126</v>
      </c>
      <c r="M9" s="14" t="s">
        <v>19</v>
      </c>
    </row>
    <row r="10" spans="1:13" x14ac:dyDescent="0.35">
      <c r="A10" s="1" t="s">
        <v>39</v>
      </c>
      <c r="B10" s="1">
        <v>3530</v>
      </c>
      <c r="C10" s="1">
        <v>3604</v>
      </c>
      <c r="D10" s="1">
        <v>3189</v>
      </c>
      <c r="E10" s="1">
        <v>2916</v>
      </c>
      <c r="F10" s="1">
        <v>2789</v>
      </c>
      <c r="G10" s="1">
        <v>2723</v>
      </c>
      <c r="H10" s="1">
        <v>2859</v>
      </c>
      <c r="I10" s="1">
        <v>3024</v>
      </c>
      <c r="J10" s="1">
        <v>3213</v>
      </c>
      <c r="K10" s="1">
        <v>3279</v>
      </c>
      <c r="L10" s="1">
        <v>3484</v>
      </c>
      <c r="M10" s="14" t="s">
        <v>19</v>
      </c>
    </row>
    <row r="11" spans="1:13" x14ac:dyDescent="0.35">
      <c r="A11" s="15" t="s">
        <v>31</v>
      </c>
      <c r="B11" s="2">
        <v>53085</v>
      </c>
      <c r="C11" s="2">
        <v>53035</v>
      </c>
      <c r="D11" s="2">
        <v>53747</v>
      </c>
      <c r="E11" s="2">
        <v>53267</v>
      </c>
      <c r="F11" s="2">
        <v>51352</v>
      </c>
      <c r="G11" s="2">
        <v>53792</v>
      </c>
      <c r="H11" s="2">
        <v>56857</v>
      </c>
      <c r="I11" s="2">
        <v>59837</v>
      </c>
      <c r="J11" s="2">
        <v>66413</v>
      </c>
      <c r="K11" s="2">
        <v>73782</v>
      </c>
      <c r="L11" s="2">
        <v>72073</v>
      </c>
      <c r="M11" s="14" t="s">
        <v>19</v>
      </c>
    </row>
    <row r="12" spans="1:13" x14ac:dyDescent="0.35">
      <c r="A12" s="15" t="s">
        <v>32</v>
      </c>
      <c r="B12" s="2">
        <v>36039</v>
      </c>
      <c r="C12" s="2">
        <v>35768</v>
      </c>
      <c r="D12" s="2">
        <v>36510</v>
      </c>
      <c r="E12" s="2">
        <v>36579</v>
      </c>
      <c r="F12" s="2">
        <v>37378</v>
      </c>
      <c r="G12" s="2">
        <v>37846</v>
      </c>
      <c r="H12" s="2">
        <v>39138</v>
      </c>
      <c r="I12" s="2">
        <v>40539</v>
      </c>
      <c r="J12" s="2">
        <v>41701</v>
      </c>
      <c r="K12" s="2">
        <v>44198</v>
      </c>
      <c r="L12" s="2">
        <v>48426</v>
      </c>
      <c r="M12" s="14" t="s">
        <v>19</v>
      </c>
    </row>
    <row r="13" spans="1:13" x14ac:dyDescent="0.35">
      <c r="A13" s="1" t="s">
        <v>34</v>
      </c>
      <c r="B13" s="2">
        <v>7475</v>
      </c>
      <c r="C13" s="2">
        <v>7503</v>
      </c>
      <c r="D13" s="2">
        <v>7288</v>
      </c>
      <c r="E13" s="2">
        <v>7708</v>
      </c>
      <c r="F13" s="2">
        <v>8015</v>
      </c>
      <c r="G13" s="2">
        <v>8531</v>
      </c>
      <c r="H13" s="2">
        <v>9074</v>
      </c>
      <c r="I13" s="2">
        <v>10000</v>
      </c>
      <c r="J13" s="2">
        <v>10718</v>
      </c>
      <c r="K13" s="2">
        <v>11029</v>
      </c>
      <c r="L13" s="2">
        <v>12605</v>
      </c>
      <c r="M13" s="14" t="s">
        <v>19</v>
      </c>
    </row>
    <row r="14" spans="1:13" x14ac:dyDescent="0.3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3" x14ac:dyDescent="0.35">
      <c r="A15" s="1" t="s">
        <v>33</v>
      </c>
      <c r="B15" s="13">
        <f>B5/'1. GDP and public debt'!B5</f>
        <v>0.47022815889341862</v>
      </c>
      <c r="C15" s="13">
        <f>C5/'1. GDP and public debt'!C5</f>
        <v>0.4684107966683978</v>
      </c>
      <c r="D15" s="13">
        <f>D5/'1. GDP and public debt'!D5</f>
        <v>0.46085085472630888</v>
      </c>
      <c r="E15" s="13">
        <f>E5/'1. GDP and public debt'!E5</f>
        <v>0.44849480006028913</v>
      </c>
      <c r="F15" s="13">
        <f>F5/'1. GDP and public debt'!F5</f>
        <v>0.43646879945562633</v>
      </c>
      <c r="G15" s="13">
        <f>G5/'1. GDP and public debt'!G5</f>
        <v>0.42459079911020314</v>
      </c>
      <c r="H15" s="13">
        <f>H5/'1. GDP and public debt'!H5</f>
        <v>0.42279650691807485</v>
      </c>
      <c r="I15" s="13">
        <f>I5/'1. GDP and public debt'!I5</f>
        <v>0.42124210539262413</v>
      </c>
      <c r="J15" s="13">
        <f>J5/'1. GDP and public debt'!J5</f>
        <v>0.47831343452224023</v>
      </c>
      <c r="K15" s="13">
        <f>K5/'1. GDP and public debt'!K5</f>
        <v>0.45964504409094092</v>
      </c>
      <c r="L15" s="13">
        <f>L5/'1. GDP and public debt'!L5</f>
        <v>0.43495011731272998</v>
      </c>
    </row>
    <row r="17" spans="1:2" x14ac:dyDescent="0.35">
      <c r="A17" s="14" t="s">
        <v>82</v>
      </c>
      <c r="B17" s="14" t="s">
        <v>37</v>
      </c>
    </row>
    <row r="18" spans="1:2" x14ac:dyDescent="0.35">
      <c r="B18" s="1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324A-FE5F-4AD8-987B-BDD5621DD202}">
  <dimension ref="A3:I41"/>
  <sheetViews>
    <sheetView workbookViewId="0">
      <selection activeCell="A43" sqref="A43"/>
    </sheetView>
  </sheetViews>
  <sheetFormatPr defaultColWidth="8.7265625" defaultRowHeight="15.5" x14ac:dyDescent="0.35"/>
  <cols>
    <col min="1" max="1" width="53.1796875" style="1" customWidth="1"/>
    <col min="2" max="2" width="13.1796875" style="1" bestFit="1" customWidth="1"/>
    <col min="3" max="5" width="12.81640625" style="1" bestFit="1" customWidth="1"/>
    <col min="6" max="6" width="13" style="1" customWidth="1"/>
    <col min="7" max="7" width="20.54296875" style="1" customWidth="1"/>
    <col min="8" max="10" width="12.81640625" style="1" bestFit="1" customWidth="1"/>
    <col min="11" max="12" width="13.26953125" style="1" bestFit="1" customWidth="1"/>
    <col min="13" max="16384" width="8.7265625" style="1"/>
  </cols>
  <sheetData>
    <row r="3" spans="1:9" x14ac:dyDescent="0.35">
      <c r="A3" s="75" t="s">
        <v>58</v>
      </c>
      <c r="B3" s="75"/>
      <c r="C3" s="75"/>
      <c r="D3" s="75"/>
      <c r="E3" s="75"/>
    </row>
    <row r="4" spans="1:9" x14ac:dyDescent="0.35">
      <c r="B4" s="3">
        <v>2020</v>
      </c>
      <c r="C4" s="3">
        <v>2021</v>
      </c>
      <c r="D4" s="3">
        <v>2022</v>
      </c>
      <c r="E4" s="26" t="s">
        <v>42</v>
      </c>
      <c r="G4" s="21"/>
      <c r="H4" s="21"/>
    </row>
    <row r="5" spans="1:9" x14ac:dyDescent="0.35">
      <c r="A5" s="1" t="s">
        <v>43</v>
      </c>
      <c r="B5" s="17">
        <v>16.849</v>
      </c>
      <c r="C5" s="17">
        <v>11.324999999999999</v>
      </c>
      <c r="D5" s="17">
        <v>1.776</v>
      </c>
      <c r="E5" s="18">
        <v>0.5</v>
      </c>
      <c r="F5" s="14" t="s">
        <v>53</v>
      </c>
      <c r="G5" s="22"/>
      <c r="H5" s="22"/>
    </row>
    <row r="6" spans="1:9" x14ac:dyDescent="0.35">
      <c r="A6" s="1" t="s">
        <v>44</v>
      </c>
      <c r="B6" s="17">
        <v>5.0540000000000003</v>
      </c>
      <c r="C6" s="17">
        <v>8.2100000000000009</v>
      </c>
      <c r="D6" s="17">
        <v>3.871</v>
      </c>
      <c r="E6" s="18">
        <v>2.7</v>
      </c>
      <c r="F6" s="14" t="s">
        <v>53</v>
      </c>
      <c r="G6" s="22"/>
      <c r="H6" s="22"/>
    </row>
    <row r="7" spans="1:9" x14ac:dyDescent="0.35">
      <c r="A7" s="15" t="s">
        <v>45</v>
      </c>
      <c r="B7" s="17">
        <v>2.843</v>
      </c>
      <c r="C7" s="17">
        <v>6.1440000000000001</v>
      </c>
      <c r="D7" s="17">
        <v>3.7250000000000001</v>
      </c>
      <c r="E7" s="18">
        <v>0.6</v>
      </c>
      <c r="F7" s="14" t="s">
        <v>53</v>
      </c>
      <c r="G7" s="12"/>
      <c r="H7" s="12"/>
    </row>
    <row r="8" spans="1:9" x14ac:dyDescent="0.35">
      <c r="A8" s="1" t="s">
        <v>46</v>
      </c>
      <c r="B8" s="17">
        <v>0.71499999999999997</v>
      </c>
      <c r="C8" s="17">
        <v>3.9790000000000001</v>
      </c>
      <c r="D8" s="17">
        <v>4.0359999999999996</v>
      </c>
      <c r="E8" s="18">
        <v>1.4</v>
      </c>
      <c r="F8" s="14" t="s">
        <v>53</v>
      </c>
      <c r="H8" s="2"/>
    </row>
    <row r="9" spans="1:9" x14ac:dyDescent="0.35">
      <c r="A9" s="15" t="s">
        <v>47</v>
      </c>
      <c r="B9" s="24">
        <v>1.694</v>
      </c>
      <c r="C9" s="24">
        <v>1.863</v>
      </c>
      <c r="D9" s="24">
        <v>0.57999999999999996</v>
      </c>
      <c r="E9" s="18">
        <v>0</v>
      </c>
      <c r="F9" s="14" t="s">
        <v>53</v>
      </c>
      <c r="G9" s="20"/>
      <c r="H9" s="20"/>
    </row>
    <row r="10" spans="1:9" x14ac:dyDescent="0.35">
      <c r="A10" s="1" t="s">
        <v>48</v>
      </c>
      <c r="B10" s="24">
        <v>0.96899999999999997</v>
      </c>
      <c r="C10" s="24">
        <v>1.3280000000000001</v>
      </c>
      <c r="D10" s="24">
        <v>1.0669999999999999</v>
      </c>
      <c r="E10" s="18">
        <v>0.2</v>
      </c>
      <c r="F10" s="14" t="s">
        <v>53</v>
      </c>
    </row>
    <row r="11" spans="1:9" x14ac:dyDescent="0.35">
      <c r="A11" s="15" t="s">
        <v>49</v>
      </c>
      <c r="B11" s="17">
        <v>0.25900000000000001</v>
      </c>
      <c r="C11" s="17">
        <v>0.22500000000000001</v>
      </c>
      <c r="D11" s="17">
        <v>0.16500000000000001</v>
      </c>
      <c r="E11" s="18">
        <v>0</v>
      </c>
      <c r="F11" s="14" t="s">
        <v>53</v>
      </c>
      <c r="G11" s="2"/>
      <c r="H11" s="2"/>
    </row>
    <row r="12" spans="1:9" x14ac:dyDescent="0.35">
      <c r="A12" s="15" t="s">
        <v>50</v>
      </c>
      <c r="B12" s="17">
        <v>0.35299999999999998</v>
      </c>
      <c r="C12" s="17">
        <v>5.0999999999999997E-2</v>
      </c>
      <c r="D12" s="17">
        <v>-1.0999999999999999E-2</v>
      </c>
      <c r="E12" s="18">
        <v>0</v>
      </c>
      <c r="F12" s="14" t="s">
        <v>53</v>
      </c>
      <c r="G12" s="2"/>
      <c r="H12" s="2"/>
    </row>
    <row r="13" spans="1:9" x14ac:dyDescent="0.35">
      <c r="A13" s="1" t="s">
        <v>51</v>
      </c>
      <c r="B13" s="17">
        <v>0.13900000000000001</v>
      </c>
      <c r="C13" s="17">
        <v>0</v>
      </c>
      <c r="D13" s="17">
        <v>0</v>
      </c>
      <c r="E13" s="18">
        <v>0</v>
      </c>
      <c r="F13" s="14" t="s">
        <v>53</v>
      </c>
      <c r="G13" s="2"/>
      <c r="H13" s="2"/>
    </row>
    <row r="14" spans="1:9" x14ac:dyDescent="0.35">
      <c r="A14" s="1" t="s">
        <v>52</v>
      </c>
      <c r="B14" s="25">
        <v>0.13700000000000001</v>
      </c>
      <c r="C14" s="25">
        <v>4.5999999999999999E-2</v>
      </c>
      <c r="D14" s="25">
        <v>0</v>
      </c>
      <c r="E14" s="18">
        <v>0</v>
      </c>
      <c r="F14" s="14" t="s">
        <v>53</v>
      </c>
      <c r="G14" s="13"/>
      <c r="H14" s="13"/>
    </row>
    <row r="15" spans="1:9" x14ac:dyDescent="0.35">
      <c r="A15" s="1" t="s">
        <v>57</v>
      </c>
      <c r="B15" s="16">
        <v>0</v>
      </c>
      <c r="C15" s="16">
        <v>0</v>
      </c>
      <c r="D15" s="16">
        <v>0</v>
      </c>
      <c r="E15" s="1">
        <v>0.1</v>
      </c>
      <c r="F15" s="14" t="s">
        <v>53</v>
      </c>
    </row>
    <row r="16" spans="1:9" ht="31" x14ac:dyDescent="0.35">
      <c r="A16" s="1" t="s">
        <v>55</v>
      </c>
      <c r="B16" s="25">
        <f>SUM(B5:B14)</f>
        <v>29.012</v>
      </c>
      <c r="C16" s="25">
        <f>SUM(C5:C14)</f>
        <v>33.171000000000006</v>
      </c>
      <c r="D16" s="25">
        <f>SUM(D5:D14)</f>
        <v>15.209</v>
      </c>
      <c r="E16" s="25">
        <f>SUM(E5:E15)</f>
        <v>5.5</v>
      </c>
      <c r="F16" s="14" t="s">
        <v>53</v>
      </c>
      <c r="G16" s="27" t="s">
        <v>56</v>
      </c>
      <c r="H16" s="25">
        <f>SUM(B16:E16)</f>
        <v>82.89200000000001</v>
      </c>
      <c r="I16" s="14" t="s">
        <v>53</v>
      </c>
    </row>
    <row r="18" spans="1:5" x14ac:dyDescent="0.35">
      <c r="A18" s="75" t="s">
        <v>59</v>
      </c>
      <c r="B18" s="75"/>
      <c r="C18" s="75"/>
      <c r="D18" s="75"/>
      <c r="E18" s="75"/>
    </row>
    <row r="19" spans="1:5" x14ac:dyDescent="0.35">
      <c r="B19" s="3">
        <v>2020</v>
      </c>
      <c r="C19" s="3">
        <v>2021</v>
      </c>
      <c r="D19" s="3">
        <v>2022</v>
      </c>
      <c r="E19" s="28"/>
    </row>
    <row r="20" spans="1:5" x14ac:dyDescent="0.35">
      <c r="A20" s="1" t="s">
        <v>60</v>
      </c>
      <c r="B20" s="1">
        <v>18.100000000000001</v>
      </c>
      <c r="C20" s="16">
        <v>18.790897999999999</v>
      </c>
      <c r="D20" s="16">
        <v>6.6345999999999998</v>
      </c>
      <c r="E20" s="29"/>
    </row>
    <row r="21" spans="1:5" x14ac:dyDescent="0.35">
      <c r="A21" s="1" t="s">
        <v>61</v>
      </c>
      <c r="B21" s="1">
        <v>2.1</v>
      </c>
      <c r="C21" s="16">
        <v>5.8695000000000004</v>
      </c>
      <c r="D21" s="16">
        <v>1.0121</v>
      </c>
    </row>
    <row r="22" spans="1:5" x14ac:dyDescent="0.35">
      <c r="A22" s="1" t="s">
        <v>62</v>
      </c>
      <c r="B22" s="1">
        <v>1.7</v>
      </c>
      <c r="C22" s="16">
        <v>4.0275999999999996</v>
      </c>
      <c r="D22" s="16">
        <v>2.7334000000000001</v>
      </c>
    </row>
    <row r="23" spans="1:5" x14ac:dyDescent="0.35">
      <c r="A23" s="1" t="s">
        <v>63</v>
      </c>
      <c r="B23" s="1">
        <v>1.1000000000000001</v>
      </c>
      <c r="C23" s="16">
        <v>1.503244</v>
      </c>
      <c r="D23" s="16">
        <v>0.65069999999999995</v>
      </c>
    </row>
    <row r="24" spans="1:5" x14ac:dyDescent="0.35">
      <c r="A24" s="1" t="s">
        <v>64</v>
      </c>
      <c r="B24" s="1">
        <v>3.2</v>
      </c>
      <c r="C24" s="16">
        <v>1.218</v>
      </c>
      <c r="D24" s="16">
        <v>0.36399999999999999</v>
      </c>
    </row>
    <row r="25" spans="1:5" x14ac:dyDescent="0.35">
      <c r="A25" s="1" t="s">
        <v>65</v>
      </c>
      <c r="B25" s="1">
        <v>1.2</v>
      </c>
      <c r="C25" s="16">
        <v>0.81746200000000002</v>
      </c>
      <c r="D25" s="16">
        <v>0</v>
      </c>
    </row>
    <row r="26" spans="1:5" x14ac:dyDescent="0.35">
      <c r="A26" s="1" t="s">
        <v>57</v>
      </c>
      <c r="B26" s="1">
        <v>0.6</v>
      </c>
      <c r="C26" s="16">
        <v>0.37985799999999997</v>
      </c>
      <c r="D26" s="16">
        <v>0.17829999999999999</v>
      </c>
    </row>
    <row r="27" spans="1:5" x14ac:dyDescent="0.35">
      <c r="A27" s="1" t="s">
        <v>66</v>
      </c>
      <c r="B27" s="1">
        <v>0.7</v>
      </c>
      <c r="C27" s="16">
        <v>0.317274</v>
      </c>
      <c r="D27" s="16">
        <v>0</v>
      </c>
    </row>
    <row r="28" spans="1:5" x14ac:dyDescent="0.35">
      <c r="A28" s="1" t="s">
        <v>67</v>
      </c>
      <c r="B28" s="1">
        <v>0.4</v>
      </c>
      <c r="C28" s="16">
        <v>0.24340000000000001</v>
      </c>
      <c r="D28" s="16">
        <v>0</v>
      </c>
    </row>
    <row r="30" spans="1:5" x14ac:dyDescent="0.35">
      <c r="A30" s="75" t="s">
        <v>68</v>
      </c>
      <c r="B30" s="75"/>
      <c r="C30" s="75"/>
      <c r="D30" s="75"/>
      <c r="E30" s="75"/>
    </row>
    <row r="31" spans="1:5" x14ac:dyDescent="0.35">
      <c r="B31" s="3">
        <v>2020</v>
      </c>
      <c r="C31" s="3">
        <v>2021</v>
      </c>
      <c r="D31" s="3">
        <v>2022</v>
      </c>
    </row>
    <row r="32" spans="1:5" x14ac:dyDescent="0.35">
      <c r="A32" s="1" t="s">
        <v>69</v>
      </c>
      <c r="B32" s="1">
        <v>19.920000000000002</v>
      </c>
      <c r="C32" s="30">
        <v>17.343933</v>
      </c>
      <c r="D32" s="30">
        <v>6.4771999999999998</v>
      </c>
    </row>
    <row r="33" spans="1:4" x14ac:dyDescent="0.35">
      <c r="A33" s="1" t="s">
        <v>31</v>
      </c>
      <c r="B33" s="1">
        <v>4.87</v>
      </c>
      <c r="C33" s="30">
        <v>7.83</v>
      </c>
      <c r="D33" s="30">
        <v>3.605</v>
      </c>
    </row>
    <row r="34" spans="1:4" x14ac:dyDescent="0.35">
      <c r="A34" s="1" t="s">
        <v>32</v>
      </c>
      <c r="B34" s="16">
        <v>0</v>
      </c>
      <c r="C34" s="30">
        <v>3.6888010000000002</v>
      </c>
      <c r="D34" s="30">
        <v>3.7107000000000001</v>
      </c>
    </row>
    <row r="35" spans="1:4" x14ac:dyDescent="0.35">
      <c r="A35" s="1" t="s">
        <v>57</v>
      </c>
      <c r="B35" s="1">
        <v>2.4900000000000002</v>
      </c>
      <c r="C35" s="30">
        <v>2.4414920000000002</v>
      </c>
      <c r="D35" s="30">
        <v>0.69579999999999997</v>
      </c>
    </row>
    <row r="36" spans="1:4" x14ac:dyDescent="0.35">
      <c r="A36" s="1" t="s">
        <v>70</v>
      </c>
      <c r="B36" s="1">
        <v>1.81</v>
      </c>
      <c r="C36" s="30">
        <v>1.840244</v>
      </c>
      <c r="D36" s="30">
        <v>0.43709999999999999</v>
      </c>
    </row>
    <row r="37" spans="1:4" x14ac:dyDescent="0.35">
      <c r="A37" s="1" t="s">
        <v>72</v>
      </c>
      <c r="B37" s="16">
        <v>0</v>
      </c>
      <c r="C37" s="16">
        <v>0</v>
      </c>
      <c r="D37" s="30">
        <v>0.126</v>
      </c>
    </row>
    <row r="38" spans="1:4" x14ac:dyDescent="0.35">
      <c r="A38" s="1" t="s">
        <v>61</v>
      </c>
      <c r="B38" s="16">
        <v>0</v>
      </c>
      <c r="C38" s="16">
        <v>0</v>
      </c>
      <c r="D38" s="30">
        <v>0.1578</v>
      </c>
    </row>
    <row r="40" spans="1:4" x14ac:dyDescent="0.35">
      <c r="A40" s="1" t="s">
        <v>36</v>
      </c>
      <c r="B40" s="23" t="s">
        <v>71</v>
      </c>
    </row>
    <row r="41" spans="1:4" x14ac:dyDescent="0.35">
      <c r="A41" s="1" t="s">
        <v>54</v>
      </c>
      <c r="B41" s="10"/>
    </row>
  </sheetData>
  <mergeCells count="3">
    <mergeCell ref="A3:E3"/>
    <mergeCell ref="A18:E18"/>
    <mergeCell ref="A30:E30"/>
  </mergeCells>
  <hyperlinks>
    <hyperlink ref="B40" r:id="rId1" display="https://www.rekenkamer.nl/onderwerpen/corona/coronarekening" xr:uid="{A09D26C0-C369-4BBE-9D68-876E27DE537C}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838BF-FE97-4DA2-B040-6E259D01FB17}">
  <dimension ref="A1:M30"/>
  <sheetViews>
    <sheetView workbookViewId="0">
      <selection activeCell="B4" sqref="B4"/>
    </sheetView>
  </sheetViews>
  <sheetFormatPr defaultRowHeight="14.5" x14ac:dyDescent="0.35"/>
  <cols>
    <col min="1" max="1" width="43.453125" customWidth="1"/>
    <col min="2" max="4" width="10.54296875" bestFit="1" customWidth="1"/>
    <col min="5" max="5" width="14.26953125" customWidth="1"/>
    <col min="6" max="6" width="23.7265625" customWidth="1"/>
    <col min="7" max="8" width="10.54296875" bestFit="1" customWidth="1"/>
    <col min="9" max="9" width="13.26953125" customWidth="1"/>
    <col min="10" max="10" width="9.81640625" bestFit="1" customWidth="1"/>
    <col min="11" max="11" width="14.453125" customWidth="1"/>
    <col min="12" max="12" width="16" bestFit="1" customWidth="1"/>
  </cols>
  <sheetData>
    <row r="1" spans="1:13" ht="15.5" x14ac:dyDescent="0.35">
      <c r="A1" s="33" t="s">
        <v>125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15.5" x14ac:dyDescent="0.35">
      <c r="A2" s="39" t="s">
        <v>83</v>
      </c>
      <c r="B2" s="39">
        <v>2021</v>
      </c>
      <c r="C2" s="39">
        <v>2021</v>
      </c>
      <c r="D2" s="39">
        <v>2021</v>
      </c>
      <c r="E2" s="39">
        <v>2021</v>
      </c>
      <c r="F2" s="39">
        <v>2022</v>
      </c>
      <c r="G2" s="39">
        <v>2022</v>
      </c>
      <c r="H2" s="39">
        <v>2022</v>
      </c>
      <c r="I2" s="39">
        <v>2022</v>
      </c>
      <c r="J2" s="39" t="s">
        <v>95</v>
      </c>
      <c r="K2" s="39" t="s">
        <v>95</v>
      </c>
      <c r="L2" s="39" t="s">
        <v>95</v>
      </c>
      <c r="M2" s="32"/>
    </row>
    <row r="3" spans="1:13" ht="46.5" customHeight="1" x14ac:dyDescent="0.35">
      <c r="A3" s="37" t="s">
        <v>104</v>
      </c>
      <c r="B3" s="37" t="s">
        <v>55</v>
      </c>
      <c r="C3" s="37" t="s">
        <v>84</v>
      </c>
      <c r="D3" s="37" t="s">
        <v>85</v>
      </c>
      <c r="E3" s="38" t="s">
        <v>103</v>
      </c>
      <c r="F3" s="37" t="s">
        <v>55</v>
      </c>
      <c r="G3" s="37" t="s">
        <v>84</v>
      </c>
      <c r="H3" s="37" t="s">
        <v>85</v>
      </c>
      <c r="I3" s="38" t="s">
        <v>103</v>
      </c>
      <c r="J3" s="37" t="s">
        <v>55</v>
      </c>
      <c r="K3" s="38" t="s">
        <v>103</v>
      </c>
      <c r="L3" s="37" t="s">
        <v>85</v>
      </c>
    </row>
    <row r="4" spans="1:13" ht="15.5" x14ac:dyDescent="0.35">
      <c r="A4" s="35" t="s">
        <v>55</v>
      </c>
      <c r="B4" s="44">
        <v>71005</v>
      </c>
      <c r="C4" s="44">
        <v>43995</v>
      </c>
      <c r="D4" s="44">
        <v>23970</v>
      </c>
      <c r="E4" s="44">
        <v>3040</v>
      </c>
      <c r="F4" s="44">
        <v>73740</v>
      </c>
      <c r="G4" s="44">
        <v>46085</v>
      </c>
      <c r="H4" s="44">
        <v>24450</v>
      </c>
      <c r="I4" s="44">
        <v>3205</v>
      </c>
      <c r="J4" s="45">
        <v>38760</v>
      </c>
      <c r="K4" s="45">
        <v>23770</v>
      </c>
      <c r="L4" s="45">
        <v>13170</v>
      </c>
    </row>
    <row r="5" spans="1:13" ht="15.5" x14ac:dyDescent="0.35">
      <c r="A5" s="35" t="s">
        <v>86</v>
      </c>
      <c r="B5" s="44">
        <v>15245</v>
      </c>
      <c r="C5" s="44">
        <v>13340</v>
      </c>
      <c r="D5" s="44">
        <v>1880</v>
      </c>
      <c r="E5" s="44">
        <v>25</v>
      </c>
      <c r="F5" s="44">
        <v>17645</v>
      </c>
      <c r="G5" s="44">
        <v>15385</v>
      </c>
      <c r="H5" s="44">
        <v>2225</v>
      </c>
      <c r="I5" s="44">
        <v>30</v>
      </c>
      <c r="J5" s="45">
        <v>9990</v>
      </c>
      <c r="K5" s="45">
        <v>8245</v>
      </c>
      <c r="L5" s="45">
        <v>1735</v>
      </c>
    </row>
    <row r="6" spans="1:13" ht="15.5" x14ac:dyDescent="0.35">
      <c r="A6" s="35" t="s">
        <v>31</v>
      </c>
      <c r="B6" s="44">
        <v>2915</v>
      </c>
      <c r="C6" s="44">
        <v>2385</v>
      </c>
      <c r="D6" s="44">
        <v>525</v>
      </c>
      <c r="E6" s="44"/>
      <c r="F6" s="44">
        <v>2875</v>
      </c>
      <c r="G6" s="44">
        <v>2315</v>
      </c>
      <c r="H6" s="44">
        <v>550</v>
      </c>
      <c r="I6" s="44">
        <v>10</v>
      </c>
      <c r="J6" s="45">
        <v>1445</v>
      </c>
      <c r="K6" s="45">
        <v>1185</v>
      </c>
      <c r="L6" s="45">
        <v>245</v>
      </c>
    </row>
    <row r="7" spans="1:13" ht="15.5" x14ac:dyDescent="0.35">
      <c r="A7" s="35" t="s">
        <v>87</v>
      </c>
      <c r="B7" s="44">
        <v>2990</v>
      </c>
      <c r="C7" s="44">
        <v>2975</v>
      </c>
      <c r="D7" s="44"/>
      <c r="E7" s="44">
        <v>15</v>
      </c>
      <c r="F7" s="44">
        <v>2955</v>
      </c>
      <c r="G7" s="44">
        <v>2940</v>
      </c>
      <c r="H7" s="44"/>
      <c r="I7" s="44">
        <v>10</v>
      </c>
      <c r="J7" s="45">
        <v>1485</v>
      </c>
      <c r="K7" s="45">
        <v>1470</v>
      </c>
      <c r="L7" s="45"/>
    </row>
    <row r="8" spans="1:13" ht="15.5" x14ac:dyDescent="0.35">
      <c r="A8" s="35" t="s">
        <v>88</v>
      </c>
      <c r="B8" s="44">
        <v>29500</v>
      </c>
      <c r="C8" s="44">
        <v>18030</v>
      </c>
      <c r="D8" s="44">
        <v>11120</v>
      </c>
      <c r="E8" s="44">
        <v>345</v>
      </c>
      <c r="F8" s="44">
        <v>29450</v>
      </c>
      <c r="G8" s="44">
        <v>17745</v>
      </c>
      <c r="H8" s="44">
        <v>11360</v>
      </c>
      <c r="I8" s="44">
        <v>350</v>
      </c>
      <c r="J8" s="45">
        <v>15805</v>
      </c>
      <c r="K8" s="45">
        <v>9260</v>
      </c>
      <c r="L8" s="45">
        <v>6345</v>
      </c>
    </row>
    <row r="9" spans="1:13" ht="15.5" x14ac:dyDescent="0.35">
      <c r="A9" s="35" t="s">
        <v>89</v>
      </c>
      <c r="B9" s="44">
        <v>620</v>
      </c>
      <c r="C9" s="44">
        <v>295</v>
      </c>
      <c r="D9" s="44">
        <v>325</v>
      </c>
      <c r="E9" s="46"/>
      <c r="F9" s="44">
        <v>565</v>
      </c>
      <c r="G9" s="44">
        <v>265</v>
      </c>
      <c r="H9" s="44">
        <v>290</v>
      </c>
      <c r="I9" s="44"/>
      <c r="J9" s="45">
        <v>260</v>
      </c>
      <c r="K9" s="45">
        <v>110</v>
      </c>
      <c r="L9" s="45">
        <v>150</v>
      </c>
    </row>
    <row r="10" spans="1:13" ht="15.5" x14ac:dyDescent="0.35">
      <c r="A10" s="35" t="s">
        <v>90</v>
      </c>
      <c r="B10" s="44">
        <v>545</v>
      </c>
      <c r="C10" s="44">
        <v>455</v>
      </c>
      <c r="D10" s="44">
        <v>90</v>
      </c>
      <c r="E10" s="46"/>
      <c r="F10" s="44">
        <v>520</v>
      </c>
      <c r="G10" s="44">
        <v>420</v>
      </c>
      <c r="H10" s="44">
        <v>95</v>
      </c>
      <c r="I10" s="44"/>
      <c r="J10" s="45">
        <v>275</v>
      </c>
      <c r="K10" s="45">
        <v>230</v>
      </c>
      <c r="L10" s="45">
        <v>45</v>
      </c>
    </row>
    <row r="11" spans="1:13" ht="15.5" x14ac:dyDescent="0.35">
      <c r="A11" s="35" t="s">
        <v>91</v>
      </c>
      <c r="B11" s="44">
        <v>175</v>
      </c>
      <c r="C11" s="44">
        <v>90</v>
      </c>
      <c r="D11" s="44">
        <v>90</v>
      </c>
      <c r="E11" s="46"/>
      <c r="F11" s="44">
        <v>130</v>
      </c>
      <c r="G11" s="44">
        <v>75</v>
      </c>
      <c r="H11" s="44">
        <v>55</v>
      </c>
      <c r="I11" s="44"/>
      <c r="J11" s="45">
        <v>60</v>
      </c>
      <c r="K11" s="45">
        <v>35</v>
      </c>
      <c r="L11" s="45">
        <v>25</v>
      </c>
    </row>
    <row r="12" spans="1:13" ht="15.5" x14ac:dyDescent="0.35">
      <c r="A12" s="35" t="s">
        <v>92</v>
      </c>
      <c r="B12" s="44">
        <v>1490</v>
      </c>
      <c r="C12" s="44">
        <v>520</v>
      </c>
      <c r="D12" s="44">
        <v>965</v>
      </c>
      <c r="E12" s="46"/>
      <c r="F12" s="44">
        <v>965</v>
      </c>
      <c r="G12" s="44">
        <v>385</v>
      </c>
      <c r="H12" s="44">
        <v>580</v>
      </c>
      <c r="I12" s="44"/>
      <c r="J12" s="45">
        <v>420</v>
      </c>
      <c r="K12" s="45">
        <v>170</v>
      </c>
      <c r="L12" s="45">
        <v>250</v>
      </c>
    </row>
    <row r="13" spans="1:13" ht="15.5" x14ac:dyDescent="0.35">
      <c r="A13" s="35" t="s">
        <v>93</v>
      </c>
      <c r="B13" s="44">
        <v>455</v>
      </c>
      <c r="C13" s="44">
        <v>95</v>
      </c>
      <c r="D13" s="44">
        <v>355</v>
      </c>
      <c r="E13" s="46"/>
      <c r="F13" s="44">
        <v>365</v>
      </c>
      <c r="G13" s="44">
        <v>65</v>
      </c>
      <c r="H13" s="44">
        <v>300</v>
      </c>
      <c r="I13" s="44"/>
      <c r="J13" s="45">
        <v>175</v>
      </c>
      <c r="K13" s="45">
        <v>55</v>
      </c>
      <c r="L13" s="45">
        <v>120</v>
      </c>
    </row>
    <row r="14" spans="1:13" ht="15.5" x14ac:dyDescent="0.35">
      <c r="A14" s="35" t="s">
        <v>94</v>
      </c>
      <c r="B14" s="44">
        <v>23180</v>
      </c>
      <c r="C14" s="44">
        <v>11315</v>
      </c>
      <c r="D14" s="44">
        <v>11415</v>
      </c>
      <c r="E14" s="44">
        <v>455</v>
      </c>
      <c r="F14" s="44">
        <v>24460</v>
      </c>
      <c r="G14" s="44">
        <v>12290</v>
      </c>
      <c r="H14" s="44">
        <v>11645</v>
      </c>
      <c r="I14" s="44">
        <v>525</v>
      </c>
      <c r="J14" s="45">
        <v>12260</v>
      </c>
      <c r="K14" s="45">
        <v>6255</v>
      </c>
      <c r="L14" s="45">
        <v>5705</v>
      </c>
    </row>
    <row r="15" spans="1:13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3" ht="15.5" x14ac:dyDescent="0.35">
      <c r="A16" s="34" t="s">
        <v>96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5.5" x14ac:dyDescent="0.35">
      <c r="A17" s="1"/>
      <c r="B17" s="43">
        <v>2019</v>
      </c>
      <c r="C17" s="43">
        <v>2020</v>
      </c>
      <c r="D17" s="43">
        <v>2021</v>
      </c>
      <c r="E17" s="43">
        <v>2022</v>
      </c>
      <c r="F17" s="43" t="s">
        <v>95</v>
      </c>
      <c r="G17" s="1"/>
      <c r="H17" s="1"/>
      <c r="I17" s="1"/>
      <c r="J17" s="1"/>
      <c r="K17" s="1"/>
      <c r="L17" s="1"/>
    </row>
    <row r="18" spans="1:12" ht="15.5" x14ac:dyDescent="0.35">
      <c r="A18" s="1"/>
      <c r="B18" s="40">
        <v>90885</v>
      </c>
      <c r="C18" s="40">
        <v>98710</v>
      </c>
      <c r="D18" s="40">
        <v>88660</v>
      </c>
      <c r="E18" s="40">
        <v>89130</v>
      </c>
      <c r="F18" s="41" t="s">
        <v>97</v>
      </c>
      <c r="G18" s="1"/>
      <c r="H18" s="1"/>
      <c r="I18" s="1"/>
      <c r="J18" s="1"/>
      <c r="K18" s="1"/>
      <c r="L18" s="1"/>
    </row>
    <row r="19" spans="1:12" ht="15.5" x14ac:dyDescent="0.35">
      <c r="A19" s="1"/>
      <c r="B19" s="42"/>
      <c r="C19" s="42"/>
      <c r="D19" s="42"/>
      <c r="E19" s="42"/>
      <c r="F19" s="42"/>
      <c r="G19" s="1"/>
      <c r="H19" s="1"/>
      <c r="I19" s="1"/>
      <c r="J19" s="1"/>
      <c r="K19" s="1"/>
      <c r="L19" s="1"/>
    </row>
    <row r="20" spans="1:12" ht="15.5" x14ac:dyDescent="0.35">
      <c r="A20" s="33" t="s">
        <v>98</v>
      </c>
      <c r="B20" s="42"/>
      <c r="C20" s="42"/>
      <c r="D20" s="42"/>
      <c r="E20" s="42"/>
      <c r="F20" s="42"/>
      <c r="G20" s="1"/>
      <c r="H20" s="1"/>
      <c r="I20" s="1"/>
      <c r="J20" s="1"/>
      <c r="K20" s="1"/>
      <c r="L20" s="1"/>
    </row>
    <row r="21" spans="1:12" ht="15.5" x14ac:dyDescent="0.35">
      <c r="A21" s="1"/>
      <c r="B21" s="43">
        <v>2019</v>
      </c>
      <c r="C21" s="43">
        <v>2020</v>
      </c>
      <c r="D21" s="43">
        <v>2021</v>
      </c>
      <c r="E21" s="43">
        <v>2022</v>
      </c>
      <c r="F21" s="43" t="s">
        <v>95</v>
      </c>
      <c r="G21" s="1"/>
      <c r="H21" s="1"/>
      <c r="I21" s="1"/>
      <c r="J21" s="1"/>
      <c r="K21" s="1"/>
      <c r="L21" s="1"/>
    </row>
    <row r="22" spans="1:12" ht="15.5" x14ac:dyDescent="0.35">
      <c r="A22" s="1"/>
      <c r="B22" s="40">
        <v>4085</v>
      </c>
      <c r="C22" s="40">
        <v>3739</v>
      </c>
      <c r="D22" s="40">
        <v>4025</v>
      </c>
      <c r="E22" s="40">
        <v>4150</v>
      </c>
      <c r="F22" s="40">
        <v>2120</v>
      </c>
      <c r="G22" s="1"/>
      <c r="H22" s="1"/>
      <c r="I22" s="1"/>
      <c r="J22" s="1"/>
      <c r="K22" s="1"/>
      <c r="L22" s="1"/>
    </row>
    <row r="23" spans="1:12" ht="15.5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5.5" x14ac:dyDescent="0.35">
      <c r="A24" s="1" t="s">
        <v>99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5.5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5.5" x14ac:dyDescent="0.35">
      <c r="A26" s="1" t="s">
        <v>100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.5" x14ac:dyDescent="0.35">
      <c r="A27" s="1" t="s">
        <v>101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5.5" x14ac:dyDescent="0.35">
      <c r="A28" s="36" t="s">
        <v>102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5.5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5.5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hyperlinks>
    <hyperlink ref="A28" r:id="rId1" xr:uid="{BD70FE0A-EF33-48A5-B96D-0F1F6B8D2F5F}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4F3BC-5CFD-476D-99E4-B6233827D73F}">
  <dimension ref="A1:I17"/>
  <sheetViews>
    <sheetView workbookViewId="0">
      <selection activeCell="B17" sqref="B17"/>
    </sheetView>
  </sheetViews>
  <sheetFormatPr defaultRowHeight="14.5" x14ac:dyDescent="0.35"/>
  <cols>
    <col min="1" max="1" width="30.81640625" customWidth="1"/>
    <col min="2" max="3" width="11.1796875" bestFit="1" customWidth="1"/>
    <col min="4" max="4" width="11" bestFit="1" customWidth="1"/>
    <col min="5" max="5" width="11.1796875" bestFit="1" customWidth="1"/>
    <col min="6" max="8" width="12" bestFit="1" customWidth="1"/>
    <col min="9" max="9" width="12.1796875" bestFit="1" customWidth="1"/>
  </cols>
  <sheetData>
    <row r="1" spans="1:9" ht="15.5" x14ac:dyDescent="0.35">
      <c r="A1" s="47" t="s">
        <v>105</v>
      </c>
      <c r="B1" s="42"/>
      <c r="C1" s="42"/>
      <c r="D1" s="42"/>
      <c r="E1" s="42"/>
      <c r="F1" s="42"/>
      <c r="G1" s="42"/>
      <c r="H1" s="42"/>
      <c r="I1" s="42"/>
    </row>
    <row r="2" spans="1:9" ht="15.5" x14ac:dyDescent="0.35">
      <c r="A2" s="42"/>
      <c r="B2" s="42"/>
      <c r="C2" s="42"/>
      <c r="D2" s="42"/>
      <c r="E2" s="42"/>
      <c r="F2" s="42"/>
      <c r="G2" s="42"/>
      <c r="H2" s="42"/>
      <c r="I2" s="42"/>
    </row>
    <row r="3" spans="1:9" ht="15.5" x14ac:dyDescent="0.35">
      <c r="A3" s="51" t="s">
        <v>106</v>
      </c>
      <c r="B3" s="51">
        <v>2017</v>
      </c>
      <c r="C3" s="51">
        <v>2018</v>
      </c>
      <c r="D3" s="51">
        <v>2019</v>
      </c>
      <c r="E3" s="51">
        <v>2020</v>
      </c>
      <c r="F3" s="51">
        <v>2021</v>
      </c>
      <c r="G3" s="51">
        <v>2022</v>
      </c>
      <c r="H3" s="51">
        <v>2023</v>
      </c>
      <c r="I3" s="52" t="s">
        <v>55</v>
      </c>
    </row>
    <row r="4" spans="1:9" ht="15.5" x14ac:dyDescent="0.35">
      <c r="A4" s="42" t="s">
        <v>107</v>
      </c>
      <c r="B4" s="48">
        <v>7530</v>
      </c>
      <c r="C4" s="48">
        <v>6520</v>
      </c>
      <c r="D4" s="48">
        <v>6100</v>
      </c>
      <c r="E4" s="48">
        <v>9250</v>
      </c>
      <c r="F4" s="48">
        <v>13920</v>
      </c>
      <c r="G4" s="48">
        <v>20260</v>
      </c>
      <c r="H4" s="48">
        <v>22490</v>
      </c>
      <c r="I4" s="48">
        <f>SUM(B4:H4)</f>
        <v>86070</v>
      </c>
    </row>
    <row r="5" spans="1:9" ht="15.5" x14ac:dyDescent="0.35">
      <c r="A5" s="42" t="s">
        <v>108</v>
      </c>
      <c r="B5" s="48">
        <v>4590</v>
      </c>
      <c r="C5" s="48">
        <v>3640</v>
      </c>
      <c r="D5" s="48">
        <v>3780</v>
      </c>
      <c r="E5" s="48">
        <v>3240</v>
      </c>
      <c r="F5" s="48">
        <v>4880</v>
      </c>
      <c r="G5" s="48">
        <v>7890</v>
      </c>
      <c r="H5" s="48">
        <v>9420</v>
      </c>
      <c r="I5" s="48">
        <f>SUM(B5:H5)</f>
        <v>37440</v>
      </c>
    </row>
    <row r="6" spans="1:9" ht="15.5" x14ac:dyDescent="0.35">
      <c r="A6" s="47" t="s">
        <v>112</v>
      </c>
      <c r="B6" s="49">
        <f>SUM(B4:B5)</f>
        <v>12120</v>
      </c>
      <c r="C6" s="49">
        <f t="shared" ref="C6:H6" si="0">SUM(C4:C5)</f>
        <v>10160</v>
      </c>
      <c r="D6" s="49">
        <f t="shared" si="0"/>
        <v>9880</v>
      </c>
      <c r="E6" s="49">
        <f t="shared" si="0"/>
        <v>12490</v>
      </c>
      <c r="F6" s="49">
        <f t="shared" si="0"/>
        <v>18800</v>
      </c>
      <c r="G6" s="49">
        <f t="shared" si="0"/>
        <v>28150</v>
      </c>
      <c r="H6" s="49">
        <f t="shared" si="0"/>
        <v>31910</v>
      </c>
      <c r="I6" s="49">
        <f>SUM(I4:I5)-10</f>
        <v>123500</v>
      </c>
    </row>
    <row r="7" spans="1:9" ht="15.5" x14ac:dyDescent="0.35">
      <c r="A7" s="42"/>
      <c r="B7" s="50"/>
      <c r="C7" s="50"/>
      <c r="D7" s="50"/>
      <c r="E7" s="50"/>
      <c r="F7" s="50"/>
      <c r="G7" s="50"/>
      <c r="H7" s="50"/>
      <c r="I7" s="50"/>
    </row>
    <row r="8" spans="1:9" ht="15.5" x14ac:dyDescent="0.35">
      <c r="A8" s="42"/>
      <c r="B8" s="42"/>
      <c r="C8" s="42"/>
      <c r="D8" s="42"/>
      <c r="E8" s="42"/>
      <c r="F8" s="42"/>
      <c r="G8" s="42"/>
      <c r="H8" s="42"/>
      <c r="I8" s="42"/>
    </row>
    <row r="9" spans="1:9" ht="15.5" x14ac:dyDescent="0.35">
      <c r="A9" s="47" t="s">
        <v>111</v>
      </c>
      <c r="B9" s="42"/>
      <c r="C9" s="42"/>
      <c r="D9" s="42"/>
      <c r="E9" s="42"/>
      <c r="F9" s="42"/>
      <c r="G9" s="42"/>
      <c r="H9" s="42"/>
      <c r="I9" s="42"/>
    </row>
    <row r="10" spans="1:9" ht="15.5" x14ac:dyDescent="0.35">
      <c r="A10" s="51" t="s">
        <v>106</v>
      </c>
      <c r="B10" s="51">
        <v>2017</v>
      </c>
      <c r="C10" s="51">
        <v>2018</v>
      </c>
      <c r="D10" s="51">
        <v>2019</v>
      </c>
      <c r="E10" s="51">
        <v>2020</v>
      </c>
      <c r="F10" s="51">
        <v>2021</v>
      </c>
      <c r="G10" s="51">
        <v>2022</v>
      </c>
      <c r="H10" s="51">
        <v>2023</v>
      </c>
      <c r="I10" s="52" t="s">
        <v>55</v>
      </c>
    </row>
    <row r="11" spans="1:9" ht="15.5" x14ac:dyDescent="0.35">
      <c r="A11" s="42" t="s">
        <v>109</v>
      </c>
      <c r="B11" s="48">
        <v>160</v>
      </c>
      <c r="C11" s="48">
        <v>390</v>
      </c>
      <c r="D11" s="48">
        <v>800</v>
      </c>
      <c r="E11" s="48">
        <v>360</v>
      </c>
      <c r="F11" s="48">
        <v>410</v>
      </c>
      <c r="G11" s="48">
        <v>690</v>
      </c>
      <c r="H11" s="48">
        <v>190</v>
      </c>
      <c r="I11" s="48">
        <f>SUM(B11:H11)</f>
        <v>3000</v>
      </c>
    </row>
    <row r="12" spans="1:9" ht="15.5" x14ac:dyDescent="0.35">
      <c r="A12" s="42" t="s">
        <v>110</v>
      </c>
      <c r="B12" s="48">
        <v>550</v>
      </c>
      <c r="C12" s="48">
        <v>1100</v>
      </c>
      <c r="D12" s="48">
        <v>1250</v>
      </c>
      <c r="E12" s="48">
        <v>470</v>
      </c>
      <c r="F12" s="48">
        <v>620</v>
      </c>
      <c r="G12" s="48">
        <v>670</v>
      </c>
      <c r="H12" s="48">
        <v>210</v>
      </c>
      <c r="I12" s="48">
        <f>SUM(B12:H12)</f>
        <v>4870</v>
      </c>
    </row>
    <row r="13" spans="1:9" ht="15.5" x14ac:dyDescent="0.35">
      <c r="A13" s="42" t="s">
        <v>107</v>
      </c>
      <c r="B13" s="42">
        <v>10620</v>
      </c>
      <c r="C13" s="42">
        <v>4910</v>
      </c>
      <c r="D13" s="42">
        <v>3460</v>
      </c>
      <c r="E13" s="42">
        <v>4190</v>
      </c>
      <c r="F13" s="42">
        <v>10390</v>
      </c>
      <c r="G13" s="42">
        <v>9600</v>
      </c>
      <c r="H13" s="42">
        <v>11770</v>
      </c>
      <c r="I13" s="48">
        <f t="shared" ref="I13:I14" si="1">SUM(B13:H13)</f>
        <v>54940</v>
      </c>
    </row>
    <row r="14" spans="1:9" ht="15.5" x14ac:dyDescent="0.35">
      <c r="A14" s="42" t="s">
        <v>108</v>
      </c>
      <c r="B14" s="42">
        <v>2910</v>
      </c>
      <c r="C14" s="42">
        <v>1840</v>
      </c>
      <c r="D14" s="42">
        <v>1130</v>
      </c>
      <c r="E14" s="42">
        <v>1120</v>
      </c>
      <c r="F14" s="42">
        <v>1670</v>
      </c>
      <c r="G14" s="42">
        <v>2440</v>
      </c>
      <c r="H14" s="42">
        <v>1970</v>
      </c>
      <c r="I14" s="48">
        <f t="shared" si="1"/>
        <v>13080</v>
      </c>
    </row>
    <row r="15" spans="1:9" ht="15.5" x14ac:dyDescent="0.35">
      <c r="A15" s="47" t="s">
        <v>112</v>
      </c>
      <c r="B15" s="49">
        <f>SUM(B11:B14)</f>
        <v>14240</v>
      </c>
      <c r="C15" s="49">
        <f t="shared" ref="C15:I15" si="2">SUM(C11:C14)</f>
        <v>8240</v>
      </c>
      <c r="D15" s="49">
        <f t="shared" si="2"/>
        <v>6640</v>
      </c>
      <c r="E15" s="49">
        <f t="shared" si="2"/>
        <v>6140</v>
      </c>
      <c r="F15" s="49">
        <f>SUM(F11:F14)+10</f>
        <v>13100</v>
      </c>
      <c r="G15" s="49">
        <f t="shared" si="2"/>
        <v>13400</v>
      </c>
      <c r="H15" s="49">
        <f t="shared" si="2"/>
        <v>14140</v>
      </c>
      <c r="I15" s="49">
        <f t="shared" si="2"/>
        <v>75890</v>
      </c>
    </row>
    <row r="16" spans="1:9" ht="15.5" x14ac:dyDescent="0.35">
      <c r="A16" s="42"/>
      <c r="B16" s="42"/>
      <c r="C16" s="42"/>
      <c r="D16" s="42"/>
      <c r="E16" s="42"/>
      <c r="F16" s="42"/>
      <c r="G16" s="42"/>
      <c r="H16" s="42"/>
      <c r="I16" s="42"/>
    </row>
    <row r="17" spans="1:9" ht="15.5" x14ac:dyDescent="0.35">
      <c r="A17" s="42" t="s">
        <v>113</v>
      </c>
      <c r="B17" s="42"/>
      <c r="C17" s="42"/>
      <c r="D17" s="42"/>
      <c r="E17" s="42"/>
      <c r="F17" s="42"/>
      <c r="G17" s="42"/>
      <c r="H17" s="42"/>
      <c r="I17" s="42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04830-EA2C-4C37-968F-026A6BC99EEA}">
  <dimension ref="A1:D14"/>
  <sheetViews>
    <sheetView workbookViewId="0">
      <selection sqref="A1:XFD1048576"/>
    </sheetView>
  </sheetViews>
  <sheetFormatPr defaultRowHeight="14.5" x14ac:dyDescent="0.35"/>
  <cols>
    <col min="1" max="1" width="40.7265625" customWidth="1"/>
    <col min="2" max="2" width="14" customWidth="1"/>
    <col min="3" max="3" width="18.26953125" customWidth="1"/>
    <col min="4" max="4" width="16.54296875" customWidth="1"/>
  </cols>
  <sheetData>
    <row r="1" spans="1:4" ht="15.5" x14ac:dyDescent="0.35">
      <c r="A1" s="33" t="s">
        <v>123</v>
      </c>
      <c r="B1" s="1"/>
      <c r="C1" s="1"/>
      <c r="D1" s="1"/>
    </row>
    <row r="2" spans="1:4" ht="15.5" x14ac:dyDescent="0.35">
      <c r="A2" s="1"/>
      <c r="B2" s="1"/>
      <c r="C2" s="1"/>
      <c r="D2" s="1"/>
    </row>
    <row r="3" spans="1:4" ht="15.5" x14ac:dyDescent="0.35">
      <c r="A3" s="60" t="s">
        <v>114</v>
      </c>
      <c r="B3" s="60" t="s">
        <v>115</v>
      </c>
      <c r="C3" s="60" t="s">
        <v>116</v>
      </c>
      <c r="D3" s="60" t="s">
        <v>117</v>
      </c>
    </row>
    <row r="4" spans="1:4" ht="15.5" x14ac:dyDescent="0.35">
      <c r="A4" s="54" t="s">
        <v>118</v>
      </c>
      <c r="B4" s="76">
        <v>32.130000000000003</v>
      </c>
      <c r="C4" s="78">
        <v>33.29</v>
      </c>
      <c r="D4" s="80">
        <v>1.04</v>
      </c>
    </row>
    <row r="5" spans="1:4" ht="15.5" x14ac:dyDescent="0.35">
      <c r="A5" s="54" t="s">
        <v>126</v>
      </c>
      <c r="B5" s="77"/>
      <c r="C5" s="79"/>
      <c r="D5" s="81"/>
    </row>
    <row r="6" spans="1:4" ht="15.5" x14ac:dyDescent="0.35">
      <c r="A6" s="53" t="s">
        <v>119</v>
      </c>
      <c r="B6" s="77">
        <v>26.02</v>
      </c>
      <c r="C6" s="79">
        <v>26.96</v>
      </c>
      <c r="D6" s="81">
        <v>1.04</v>
      </c>
    </row>
    <row r="7" spans="1:4" ht="15.5" x14ac:dyDescent="0.35">
      <c r="A7" s="54" t="s">
        <v>127</v>
      </c>
      <c r="B7" s="77"/>
      <c r="C7" s="79"/>
      <c r="D7" s="81"/>
    </row>
    <row r="8" spans="1:4" ht="15.5" x14ac:dyDescent="0.35">
      <c r="A8" s="53" t="s">
        <v>120</v>
      </c>
      <c r="B8" s="77">
        <v>4.9000000000000004</v>
      </c>
      <c r="C8" s="79">
        <v>4.9400000000000004</v>
      </c>
      <c r="D8" s="81">
        <v>1.01</v>
      </c>
    </row>
    <row r="9" spans="1:4" ht="15.5" x14ac:dyDescent="0.35">
      <c r="A9" s="54" t="s">
        <v>128</v>
      </c>
      <c r="B9" s="77"/>
      <c r="C9" s="79"/>
      <c r="D9" s="81"/>
    </row>
    <row r="10" spans="1:4" ht="15.5" x14ac:dyDescent="0.35">
      <c r="A10" s="53" t="s">
        <v>121</v>
      </c>
      <c r="B10" s="82" t="s">
        <v>122</v>
      </c>
      <c r="C10" s="79">
        <v>2.74</v>
      </c>
      <c r="D10" s="83" t="s">
        <v>122</v>
      </c>
    </row>
    <row r="11" spans="1:4" ht="15.5" x14ac:dyDescent="0.35">
      <c r="A11" s="55" t="s">
        <v>129</v>
      </c>
      <c r="B11" s="82"/>
      <c r="C11" s="79"/>
      <c r="D11" s="83"/>
    </row>
    <row r="12" spans="1:4" ht="15" x14ac:dyDescent="0.35">
      <c r="A12" s="56" t="s">
        <v>55</v>
      </c>
      <c r="B12" s="57">
        <v>63.05</v>
      </c>
      <c r="C12" s="57">
        <v>67.930000000000007</v>
      </c>
      <c r="D12" s="58" t="s">
        <v>122</v>
      </c>
    </row>
    <row r="13" spans="1:4" ht="15.5" x14ac:dyDescent="0.35">
      <c r="A13" s="1"/>
      <c r="B13" s="1"/>
      <c r="C13" s="1"/>
      <c r="D13" s="1"/>
    </row>
    <row r="14" spans="1:4" ht="15.5" x14ac:dyDescent="0.35">
      <c r="A14" s="59" t="s">
        <v>124</v>
      </c>
      <c r="B14" s="1"/>
      <c r="C14" s="1"/>
      <c r="D14" s="1"/>
    </row>
  </sheetData>
  <mergeCells count="12">
    <mergeCell ref="B8:B9"/>
    <mergeCell ref="C8:C9"/>
    <mergeCell ref="D8:D9"/>
    <mergeCell ref="B10:B11"/>
    <mergeCell ref="C10:C11"/>
    <mergeCell ref="D10:D11"/>
    <mergeCell ref="B4:B5"/>
    <mergeCell ref="C4:C5"/>
    <mergeCell ref="D4:D5"/>
    <mergeCell ref="B6:B7"/>
    <mergeCell ref="C6:C7"/>
    <mergeCell ref="D6:D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6EF26-9DBD-4DF1-A31F-12E9DDAA403A}">
  <dimension ref="A1:I23"/>
  <sheetViews>
    <sheetView tabSelected="1" workbookViewId="0">
      <selection activeCell="I18" sqref="I18"/>
    </sheetView>
  </sheetViews>
  <sheetFormatPr defaultRowHeight="14.5" x14ac:dyDescent="0.35"/>
  <cols>
    <col min="1" max="1" width="40.7265625" customWidth="1"/>
    <col min="2" max="2" width="14" customWidth="1"/>
    <col min="3" max="3" width="9.1796875" bestFit="1" customWidth="1"/>
    <col min="4" max="4" width="10.26953125" bestFit="1" customWidth="1"/>
    <col min="5" max="5" width="9.1796875" bestFit="1" customWidth="1"/>
    <col min="6" max="7" width="9.54296875" bestFit="1" customWidth="1"/>
  </cols>
  <sheetData>
    <row r="1" spans="1:9" ht="15.5" x14ac:dyDescent="0.35">
      <c r="A1" s="33" t="s">
        <v>141</v>
      </c>
      <c r="B1" s="1"/>
      <c r="C1" s="1"/>
      <c r="D1" s="1"/>
      <c r="E1" s="8"/>
      <c r="F1" s="8"/>
      <c r="G1" s="8"/>
      <c r="H1" s="8"/>
      <c r="I1" s="8"/>
    </row>
    <row r="2" spans="1:9" ht="15.5" x14ac:dyDescent="0.35">
      <c r="A2" s="20"/>
      <c r="B2" s="1"/>
      <c r="C2" s="1"/>
      <c r="D2" s="1"/>
      <c r="E2" s="8"/>
      <c r="F2" s="8"/>
      <c r="G2" s="8"/>
      <c r="H2" s="8"/>
      <c r="I2" s="8"/>
    </row>
    <row r="3" spans="1:9" ht="15.5" x14ac:dyDescent="0.35">
      <c r="A3" s="8"/>
      <c r="B3" s="60"/>
      <c r="C3" s="60">
        <v>2019</v>
      </c>
      <c r="D3" s="60">
        <v>2020</v>
      </c>
      <c r="E3" s="60">
        <v>2021</v>
      </c>
      <c r="F3" s="65">
        <v>2022</v>
      </c>
      <c r="G3" s="65">
        <v>2023</v>
      </c>
      <c r="H3" s="8"/>
      <c r="I3" s="8"/>
    </row>
    <row r="4" spans="1:9" x14ac:dyDescent="0.35">
      <c r="A4" s="84" t="s">
        <v>139</v>
      </c>
      <c r="B4" s="71" t="s">
        <v>137</v>
      </c>
      <c r="C4" s="72">
        <v>3.6999999999999998E-2</v>
      </c>
      <c r="D4" s="72">
        <v>3.9E-2</v>
      </c>
      <c r="E4" s="72">
        <v>3.2000000000000001E-2</v>
      </c>
      <c r="F4" s="66">
        <v>2.7E-2</v>
      </c>
      <c r="G4" s="66">
        <v>2.5999999999999999E-2</v>
      </c>
      <c r="H4" s="8"/>
      <c r="I4" s="8"/>
    </row>
    <row r="5" spans="1:9" x14ac:dyDescent="0.35">
      <c r="A5" s="84"/>
      <c r="B5" s="71" t="s">
        <v>138</v>
      </c>
      <c r="C5" s="72">
        <v>3.6999999999999998E-2</v>
      </c>
      <c r="D5" s="72">
        <v>4.2000000000000003E-2</v>
      </c>
      <c r="E5" s="72">
        <v>3.3000000000000002E-2</v>
      </c>
      <c r="F5" s="66">
        <v>0.03</v>
      </c>
      <c r="G5" s="66">
        <v>2.9000000000000001E-2</v>
      </c>
      <c r="H5" s="8"/>
      <c r="I5" s="8"/>
    </row>
    <row r="6" spans="1:9" x14ac:dyDescent="0.35">
      <c r="A6" s="84" t="s">
        <v>140</v>
      </c>
      <c r="B6" s="71" t="s">
        <v>137</v>
      </c>
      <c r="C6" s="72">
        <v>6.9000000000000006E-2</v>
      </c>
      <c r="D6" s="72">
        <v>6.7000000000000004E-2</v>
      </c>
      <c r="E6" s="72">
        <v>6.4000000000000001E-2</v>
      </c>
      <c r="F6" s="66">
        <v>5.0999999999999997E-2</v>
      </c>
      <c r="G6" s="66">
        <v>5.2999999999999999E-2</v>
      </c>
      <c r="H6" s="8"/>
      <c r="I6" s="8"/>
    </row>
    <row r="7" spans="1:9" x14ac:dyDescent="0.35">
      <c r="A7" s="84"/>
      <c r="B7" s="71" t="s">
        <v>138</v>
      </c>
      <c r="C7" s="72">
        <v>7.3999999999999996E-2</v>
      </c>
      <c r="D7" s="72">
        <v>0.08</v>
      </c>
      <c r="E7" s="72">
        <v>7.9000000000000001E-2</v>
      </c>
      <c r="F7" s="66">
        <v>0.06</v>
      </c>
      <c r="G7" s="66">
        <v>5.8000000000000003E-2</v>
      </c>
      <c r="H7" s="8"/>
      <c r="I7" s="8"/>
    </row>
    <row r="8" spans="1:9" x14ac:dyDescent="0.35">
      <c r="A8" s="84" t="s">
        <v>147</v>
      </c>
      <c r="B8" s="73" t="s">
        <v>137</v>
      </c>
      <c r="C8" s="66">
        <v>5.6000000000000001E-2</v>
      </c>
      <c r="D8" s="66">
        <v>4.4999999999999998E-2</v>
      </c>
      <c r="E8" s="66">
        <v>4.5999999999999999E-2</v>
      </c>
      <c r="F8" s="66">
        <v>3.3000000000000002E-2</v>
      </c>
      <c r="G8" s="66">
        <v>4.2000000000000003E-2</v>
      </c>
      <c r="H8" s="8"/>
      <c r="I8" s="8"/>
    </row>
    <row r="9" spans="1:9" x14ac:dyDescent="0.35">
      <c r="A9" s="84"/>
      <c r="B9" s="73" t="s">
        <v>138</v>
      </c>
      <c r="C9" s="66">
        <v>6.2E-2</v>
      </c>
      <c r="D9" s="66">
        <v>0.06</v>
      </c>
      <c r="E9" s="66">
        <v>7.1999999999999995E-2</v>
      </c>
      <c r="F9" s="66">
        <v>4.2999999999999997E-2</v>
      </c>
      <c r="G9" s="66">
        <v>4.9000000000000002E-2</v>
      </c>
      <c r="H9" s="8"/>
      <c r="I9" s="8"/>
    </row>
    <row r="10" spans="1:9" x14ac:dyDescent="0.35">
      <c r="A10" s="84" t="s">
        <v>142</v>
      </c>
      <c r="B10" s="71" t="s">
        <v>137</v>
      </c>
      <c r="C10" s="72">
        <v>4.5999999999999999E-2</v>
      </c>
      <c r="D10" s="72">
        <v>4.3999999999999997E-2</v>
      </c>
      <c r="E10" s="72">
        <v>3.5000000000000003E-2</v>
      </c>
      <c r="F10" s="66">
        <v>3.6999999999999998E-2</v>
      </c>
      <c r="G10" s="66">
        <v>3.4000000000000002E-2</v>
      </c>
      <c r="H10" s="8"/>
      <c r="I10" s="8"/>
    </row>
    <row r="11" spans="1:9" x14ac:dyDescent="0.35">
      <c r="A11" s="84"/>
      <c r="B11" s="71" t="s">
        <v>138</v>
      </c>
      <c r="C11" s="72">
        <v>3.7999999999999999E-2</v>
      </c>
      <c r="D11" s="72">
        <v>3.7999999999999999E-2</v>
      </c>
      <c r="E11" s="72">
        <v>3.7999999999999999E-2</v>
      </c>
      <c r="F11" s="66">
        <v>3.2000000000000001E-2</v>
      </c>
      <c r="G11" s="66">
        <v>4.2000000000000003E-2</v>
      </c>
      <c r="H11" s="8"/>
      <c r="I11" s="8"/>
    </row>
    <row r="12" spans="1:9" x14ac:dyDescent="0.35">
      <c r="A12" s="84" t="s">
        <v>143</v>
      </c>
      <c r="B12" s="71" t="s">
        <v>137</v>
      </c>
      <c r="C12" s="74">
        <v>8.3000000000000004E-2</v>
      </c>
      <c r="D12" s="72">
        <v>8.5999999999999993E-2</v>
      </c>
      <c r="E12" s="74">
        <v>8.7999999999999995E-2</v>
      </c>
      <c r="F12" s="66">
        <v>5.7000000000000002E-2</v>
      </c>
      <c r="G12" s="66">
        <v>7.0999999999999994E-2</v>
      </c>
      <c r="H12" s="8"/>
      <c r="I12" s="8"/>
    </row>
    <row r="13" spans="1:9" x14ac:dyDescent="0.35">
      <c r="A13" s="84"/>
      <c r="B13" s="71" t="s">
        <v>138</v>
      </c>
      <c r="C13" s="74">
        <v>7.3999999999999996E-2</v>
      </c>
      <c r="D13" s="72">
        <v>8.1000000000000003E-2</v>
      </c>
      <c r="E13" s="74">
        <v>7.0000000000000007E-2</v>
      </c>
      <c r="F13" s="66">
        <v>6.5000000000000002E-2</v>
      </c>
      <c r="G13" s="66">
        <v>7.0999999999999994E-2</v>
      </c>
      <c r="H13" s="8"/>
      <c r="I13" s="8"/>
    </row>
    <row r="14" spans="1:9" x14ac:dyDescent="0.35">
      <c r="A14" s="84" t="s">
        <v>144</v>
      </c>
      <c r="B14" s="71" t="s">
        <v>137</v>
      </c>
      <c r="C14" s="72">
        <v>7.5999999999999998E-2</v>
      </c>
      <c r="D14" s="72">
        <v>0.108</v>
      </c>
      <c r="E14" s="74">
        <v>8.2000000000000003E-2</v>
      </c>
      <c r="F14" s="66">
        <v>6.9000000000000006E-2</v>
      </c>
      <c r="G14" s="66">
        <v>7.9000000000000001E-2</v>
      </c>
      <c r="H14" s="8"/>
      <c r="I14" s="8"/>
    </row>
    <row r="15" spans="1:9" x14ac:dyDescent="0.35">
      <c r="A15" s="84"/>
      <c r="B15" s="67" t="s">
        <v>138</v>
      </c>
      <c r="C15" s="66">
        <v>8.8999999999999996E-2</v>
      </c>
      <c r="D15" s="66">
        <v>9.4E-2</v>
      </c>
      <c r="E15" s="66">
        <v>9.1999999999999998E-2</v>
      </c>
      <c r="F15" s="66">
        <v>9.5000000000000001E-2</v>
      </c>
      <c r="G15" s="66">
        <v>5.8000000000000003E-2</v>
      </c>
      <c r="H15" s="8"/>
      <c r="I15" s="8"/>
    </row>
    <row r="16" spans="1:9" x14ac:dyDescent="0.35">
      <c r="A16" s="85" t="s">
        <v>145</v>
      </c>
      <c r="B16" s="67" t="s">
        <v>137</v>
      </c>
      <c r="C16" s="66">
        <v>7.5999999999999998E-2</v>
      </c>
      <c r="D16" s="66">
        <v>6.3E-2</v>
      </c>
      <c r="E16" s="66">
        <v>4.4999999999999998E-2</v>
      </c>
      <c r="F16" s="66">
        <v>5.3999999999999999E-2</v>
      </c>
      <c r="G16" s="66">
        <v>5.0999999999999997E-2</v>
      </c>
      <c r="H16" s="8"/>
      <c r="I16" s="8"/>
    </row>
    <row r="17" spans="1:9" x14ac:dyDescent="0.35">
      <c r="A17" s="85"/>
      <c r="B17" s="67" t="s">
        <v>138</v>
      </c>
      <c r="C17" s="66">
        <v>7.5999999999999998E-2</v>
      </c>
      <c r="D17" s="66">
        <v>0.108</v>
      </c>
      <c r="E17" s="66">
        <v>7.2999999999999995E-2</v>
      </c>
      <c r="F17" s="66">
        <v>7.5999999999999998E-2</v>
      </c>
      <c r="G17" s="66">
        <v>0.06</v>
      </c>
      <c r="H17" s="8"/>
      <c r="I17" s="8"/>
    </row>
    <row r="18" spans="1:9" x14ac:dyDescent="0.35">
      <c r="A18" s="84" t="s">
        <v>146</v>
      </c>
      <c r="B18" s="67" t="s">
        <v>137</v>
      </c>
      <c r="C18" s="66">
        <v>5.8999999999999997E-2</v>
      </c>
      <c r="D18" s="66">
        <v>7.0000000000000007E-2</v>
      </c>
      <c r="E18" s="66">
        <v>9.2999999999999999E-2</v>
      </c>
      <c r="F18" s="66">
        <v>5.3999999999999999E-2</v>
      </c>
      <c r="G18" s="66">
        <v>5.7000000000000002E-2</v>
      </c>
      <c r="H18" s="8"/>
      <c r="I18" s="8"/>
    </row>
    <row r="19" spans="1:9" x14ac:dyDescent="0.35">
      <c r="A19" s="84"/>
      <c r="B19" s="67" t="s">
        <v>138</v>
      </c>
      <c r="C19" s="66">
        <v>8.2000000000000003E-2</v>
      </c>
      <c r="D19" s="66">
        <v>6.3E-2</v>
      </c>
      <c r="E19" s="66">
        <v>7.6999999999999999E-2</v>
      </c>
      <c r="F19" s="66">
        <v>6.2E-2</v>
      </c>
      <c r="G19" s="66">
        <v>0.06</v>
      </c>
      <c r="H19" s="8"/>
      <c r="I19" s="8"/>
    </row>
    <row r="20" spans="1:9" x14ac:dyDescent="0.35">
      <c r="A20" s="69"/>
      <c r="B20" s="69"/>
      <c r="C20" s="70"/>
      <c r="D20" s="70"/>
      <c r="E20" s="70"/>
      <c r="F20" s="70"/>
      <c r="G20" s="70"/>
      <c r="H20" s="8"/>
      <c r="I20" s="8"/>
    </row>
    <row r="21" spans="1:9" x14ac:dyDescent="0.35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35">
      <c r="A22" s="8" t="s">
        <v>148</v>
      </c>
      <c r="B22" s="8"/>
      <c r="C22" s="8"/>
      <c r="D22" s="8"/>
      <c r="E22" s="8"/>
      <c r="F22" s="8"/>
      <c r="G22" s="8"/>
      <c r="H22" s="8"/>
      <c r="I22" s="8"/>
    </row>
    <row r="23" spans="1:9" x14ac:dyDescent="0.35">
      <c r="A23" s="68" t="s">
        <v>149</v>
      </c>
      <c r="B23" s="8"/>
      <c r="C23" s="8"/>
      <c r="D23" s="8"/>
      <c r="E23" s="8"/>
      <c r="F23" s="8"/>
      <c r="G23" s="8"/>
      <c r="H23" s="8"/>
      <c r="I23" s="8"/>
    </row>
  </sheetData>
  <mergeCells count="8">
    <mergeCell ref="A12:A13"/>
    <mergeCell ref="A14:A15"/>
    <mergeCell ref="A16:A17"/>
    <mergeCell ref="A18:A19"/>
    <mergeCell ref="A4:A5"/>
    <mergeCell ref="A6:A7"/>
    <mergeCell ref="A8:A9"/>
    <mergeCell ref="A10:A1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9" ma:contentTypeDescription="Crée un document." ma:contentTypeScope="" ma:versionID="753cbee5420926f8f4afc12de18fd189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db940c677c785564c11bc5349edb4ac5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  <xsd:element ref="ns5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6" nillable="true" ma:displayName="Taxonomy Catch All Column" ma:hidden="true" ma:list="{5430d4b1-0018-4ea0-88e3-0972f21a686e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45" nillable="true" ma:taxonomy="true" ma:internalName="lcf76f155ced4ddcb4097134ff3c332f" ma:taxonomyFieldName="MediaServiceImageTags" ma:displayName="Balises d’image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eur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 ma:index="8" ma:displayName="Objet"/>
        <xsd:element ref="dc:description" minOccurs="0" maxOccurs="1"/>
        <xsd:element name="keywords" minOccurs="0" maxOccurs="1" type="xsd:string" ma:index="14" ma:displayName="Mots clé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2024-10-31T13:10:30+00:00</Document_x0020_Date>
    <Donor xmlns="11a6fe0c-d8de-4390-afb3-d9c7c54181f0" xsi:nil="true"/>
    <Report_x0020_Type xmlns="11a6fe0c-d8de-4390-afb3-d9c7c54181f0" xsi:nil="true"/>
    <lcf76f155ced4ddcb4097134ff3c332f xmlns="8eb6b7aa-b3e9-4746-bd27-3634f5bdf43e">
      <Terms xmlns="http://schemas.microsoft.com/office/infopath/2007/PartnerControls"/>
    </lcf76f155ced4ddcb4097134ff3c332f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B6F3E8CD-B804-452B-851F-7EB7D234038A}"/>
</file>

<file path=customXml/itemProps2.xml><?xml version="1.0" encoding="utf-8"?>
<ds:datastoreItem xmlns:ds="http://schemas.openxmlformats.org/officeDocument/2006/customXml" ds:itemID="{33A9C7BC-C4DD-4231-8444-F45268A90E2C}"/>
</file>

<file path=customXml/itemProps3.xml><?xml version="1.0" encoding="utf-8"?>
<ds:datastoreItem xmlns:ds="http://schemas.openxmlformats.org/officeDocument/2006/customXml" ds:itemID="{2FC9C22E-37D9-4C4F-9057-02E4872F84A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1. GDP and public debt</vt:lpstr>
      <vt:lpstr>2. Households poverty-risk</vt:lpstr>
      <vt:lpstr>3. Inequality</vt:lpstr>
      <vt:lpstr>4. Public income</vt:lpstr>
      <vt:lpstr>5. Public expenditures</vt:lpstr>
      <vt:lpstr>6. COVID-19 expenditures</vt:lpstr>
      <vt:lpstr>7. Domestic abuse</vt:lpstr>
      <vt:lpstr>8. Family Reunification</vt:lpstr>
      <vt:lpstr>9. Occupancy reception centres</vt:lpstr>
      <vt:lpstr>10. Unemployment; background</vt:lpstr>
      <vt:lpstr>'7. Domestic abuse'!_Hlk160719628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Dering, P.M.</dc:creator>
  <cp:lastModifiedBy>Brilman, Marina</cp:lastModifiedBy>
  <dcterms:created xsi:type="dcterms:W3CDTF">2024-03-04T12:12:15Z</dcterms:created>
  <dcterms:modified xsi:type="dcterms:W3CDTF">2024-10-14T08:05:44Z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0x0101008BAEE822EC96B34D9E54BA1D59F1A75A</vt:lpwstr>
  </property>
</Properties>
</file>